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120" activeTab="0"/>
  </bookViews>
  <sheets>
    <sheet name="Swimming Pools" sheetId="1" r:id="rId1"/>
    <sheet name="Sports Halls" sheetId="2" r:id="rId2"/>
    <sheet name="H&amp;F 2010" sheetId="3" r:id="rId3"/>
    <sheet name="H&amp;F Supply" sheetId="4" r:id="rId4"/>
  </sheets>
  <definedNames>
    <definedName name="_xlnm.Print_Area" localSheetId="2">'H&amp;F 2010'!$A$1:$G$54</definedName>
    <definedName name="_xlnm.Print_Area" localSheetId="3">'H&amp;F Supply'!$A$1:$D$41</definedName>
  </definedNames>
  <calcPr fullCalcOnLoad="1"/>
</workbook>
</file>

<file path=xl/sharedStrings.xml><?xml version="1.0" encoding="utf-8"?>
<sst xmlns="http://schemas.openxmlformats.org/spreadsheetml/2006/main" count="317" uniqueCount="198">
  <si>
    <t xml:space="preserve"> </t>
  </si>
  <si>
    <t>Number of potential members/users of health and fitness clubs</t>
  </si>
  <si>
    <t xml:space="preserve">Average user attends 1.5 times per week or six times per month number of visits per week </t>
  </si>
  <si>
    <t>Number of visits per week in peak times = 65% of total number of visits</t>
  </si>
  <si>
    <t>Number of visits in one hour of peak time = total visits during peak time /34</t>
  </si>
  <si>
    <t>Current Supply</t>
  </si>
  <si>
    <t>Current Surplus / (Deficit) in supply</t>
  </si>
  <si>
    <t>The average health and fitness session is one hour</t>
  </si>
  <si>
    <t>65% of use is during peak times</t>
  </si>
  <si>
    <t>Peak times are 34 hours 5-9 mon - fri and 9-4 sat and sun</t>
  </si>
  <si>
    <t>Average user participates 1.5 times per week or six times per month</t>
  </si>
  <si>
    <t>The at one time capacity of a health and fitness facility is calculated by the ratio of one user per station</t>
  </si>
  <si>
    <t>Facility</t>
  </si>
  <si>
    <t>No. of Stations</t>
  </si>
  <si>
    <t>Access</t>
  </si>
  <si>
    <t>Pay and Play</t>
  </si>
  <si>
    <t>Sports Club / Community Association</t>
  </si>
  <si>
    <t>Total No. of Stations</t>
  </si>
  <si>
    <t xml:space="preserve">Demand Assessment Table - Health and Fitness Facilities </t>
  </si>
  <si>
    <t>Assumptions: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</si>
  <si>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</si>
  <si>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</si>
  <si>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</si>
  <si>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</si>
  <si>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</si>
  <si>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</si>
  <si>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</si>
  <si>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</si>
  <si>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</si>
  <si>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</si>
  <si>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</si>
  <si>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</si>
  <si>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</si>
  <si>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>Age Range</t>
  </si>
  <si>
    <t>Population</t>
  </si>
  <si>
    <t>Private Sector</t>
  </si>
  <si>
    <t>Public Sector</t>
  </si>
  <si>
    <t xml:space="preserve">FIA </t>
  </si>
  <si>
    <t xml:space="preserve">the predicted demand by potential members/users of a health and fitness facility are follows: </t>
  </si>
  <si>
    <t xml:space="preserve">The estimated total number of fixed fitness stations that would be required to cater for </t>
  </si>
  <si>
    <t xml:space="preserve">Population statistics have been sourced by using the </t>
  </si>
  <si>
    <t xml:space="preserve">Totals - </t>
  </si>
  <si>
    <t xml:space="preserve"> Estimated Membership Base *</t>
  </si>
  <si>
    <t>The model is based on the premise that for the supply to be sufficient, it must be large enough to cater for the maximum demand at any one time</t>
  </si>
  <si>
    <t>Maximum demand is described as the demand during a peak hour session</t>
  </si>
  <si>
    <t>FIA (Fitness Industry Association) Industry Published Research 2009</t>
  </si>
  <si>
    <t>2 above shown as % of defined adult population 1. above</t>
  </si>
  <si>
    <t>All Facilities</t>
  </si>
  <si>
    <t xml:space="preserve">Facilty Requirement Guide - </t>
  </si>
  <si>
    <t>100 + Stations - Significant Demand - Large sized facility or two facilities</t>
  </si>
  <si>
    <t>60 - 100 Stations - Strong Demand - Average sized facility</t>
  </si>
  <si>
    <t>0 - 20 Stations - Limited/Minimal demand - Small community/educational based facility</t>
  </si>
  <si>
    <t>20 - 60 Stations - Slight/Some Demand - Refurbished larger facility/basic sized facility</t>
  </si>
  <si>
    <t>Ownership</t>
  </si>
  <si>
    <t>Total No. of Stations Pay &amp; Play</t>
  </si>
  <si>
    <t>Supply List</t>
  </si>
  <si>
    <t>Total No. of Stations Private Facilities (No P&amp;P)</t>
  </si>
  <si>
    <t xml:space="preserve">* Propensity to participate is defined using the </t>
  </si>
  <si>
    <t>Calculations used to identify demand</t>
  </si>
  <si>
    <t>Aldridge School</t>
  </si>
  <si>
    <t>Arena Gym</t>
  </si>
  <si>
    <t>Barons Courts Hotel</t>
  </si>
  <si>
    <t>Bentley Barn</t>
  </si>
  <si>
    <t>Blakenall Community Centre</t>
  </si>
  <si>
    <t>Bloxwich Leisure Centre</t>
  </si>
  <si>
    <t>Body Zone</t>
  </si>
  <si>
    <t>Colossus Gym</t>
  </si>
  <si>
    <t>Darlaston Pool</t>
  </si>
  <si>
    <t>Fairlawns</t>
  </si>
  <si>
    <t>Fitbods</t>
  </si>
  <si>
    <t>Fitness Express</t>
  </si>
  <si>
    <t>Fitness First</t>
  </si>
  <si>
    <t>Fosters Fitness Centre</t>
  </si>
  <si>
    <t>Frank F Harrison</t>
  </si>
  <si>
    <t>Gala Baths</t>
  </si>
  <si>
    <t>Manor Farm Community</t>
  </si>
  <si>
    <t>Oak Park Leisure Centre</t>
  </si>
  <si>
    <t>Owens Gym</t>
  </si>
  <si>
    <t>Palfrey CA</t>
  </si>
  <si>
    <t>Queen Mary's Grammar</t>
  </si>
  <si>
    <t>Shelfield Academy</t>
  </si>
  <si>
    <t>Shire Oak School</t>
  </si>
  <si>
    <t>Sprintz</t>
  </si>
  <si>
    <t>St Thomas More Catholic</t>
  </si>
  <si>
    <t>Tehila Fitness</t>
  </si>
  <si>
    <t>The Streetly School</t>
  </si>
  <si>
    <t>Village Hotel</t>
  </si>
  <si>
    <t>Walsall College</t>
  </si>
  <si>
    <t>Willenhall Chart</t>
  </si>
  <si>
    <t>Willenhall Leisure Centre</t>
  </si>
  <si>
    <t>Willenhall School Sports College</t>
  </si>
  <si>
    <t>Wolverhampton University</t>
  </si>
  <si>
    <t>Registered Membership Use</t>
  </si>
  <si>
    <t>Pay and Play and Registered Membership</t>
  </si>
  <si>
    <t>Education</t>
  </si>
  <si>
    <t>Commercial</t>
  </si>
  <si>
    <t>Local Authority</t>
  </si>
  <si>
    <t>Community Association</t>
  </si>
  <si>
    <t>Walsall MBC</t>
  </si>
  <si>
    <t>ONS, mid-year estimates 2007</t>
  </si>
  <si>
    <t>Minimal Access/Not Applicable</t>
  </si>
  <si>
    <t>Adults</t>
  </si>
  <si>
    <t>% participating in past four weeks - MONTHLY USERS (AP2)</t>
  </si>
  <si>
    <t>% participating in last week - WEEKLY USERS (58%) of Monthly users</t>
  </si>
  <si>
    <t>Population 16-74 years</t>
  </si>
  <si>
    <t>Monthly Visits</t>
  </si>
  <si>
    <t>Annual Usage (monthly)</t>
  </si>
  <si>
    <t>Weekly Visits</t>
  </si>
  <si>
    <t>Annual Usage (weekly)</t>
  </si>
  <si>
    <t>Total Visits</t>
  </si>
  <si>
    <t>Annual visits in Peak Time (65%)</t>
  </si>
  <si>
    <t>Visits in Peak Time per week</t>
  </si>
  <si>
    <t>Walsall</t>
  </si>
  <si>
    <t>100% of visits in peak</t>
  </si>
  <si>
    <t>Quantifying Demand</t>
  </si>
  <si>
    <t>65% at peak</t>
  </si>
  <si>
    <t>100% at peak</t>
  </si>
  <si>
    <t>Divide total peak visits by peak hours available to ascertain people per hour</t>
  </si>
  <si>
    <t>Multiply by water area required for one person (6m)</t>
  </si>
  <si>
    <t>Comfort factor of 70% capacity usage at one time</t>
  </si>
  <si>
    <t>Total square metres required</t>
  </si>
  <si>
    <t>As pool units (4 lane pool 212m)</t>
  </si>
  <si>
    <t xml:space="preserve">Juniors </t>
  </si>
  <si>
    <t>(national 16 year old participation in past four weeks - 15.88%</t>
  </si>
  <si>
    <t>% participating in past four weeks (national rate/Walsall multiplier of 1.17)</t>
  </si>
  <si>
    <t>Population 0-14 years</t>
  </si>
  <si>
    <t>Annual visits in Peak Time (only 60% due to junior swimming habits)</t>
  </si>
  <si>
    <t>As pool units (4 lane pool 212m )</t>
  </si>
  <si>
    <t>Total Metres Required</t>
  </si>
  <si>
    <t>Total Pool Demand Juniors &amp; Adults</t>
  </si>
  <si>
    <t>Participation Increase Scenarios</t>
  </si>
  <si>
    <t>Need to flow on from the above</t>
  </si>
  <si>
    <t>Assumptions</t>
  </si>
  <si>
    <t>Adult 1% base increase</t>
  </si>
  <si>
    <t>Proportion of visits during peak times = 65%</t>
  </si>
  <si>
    <t>Adult 2% base increase</t>
  </si>
  <si>
    <t>Average duration of visit = 60 minutes (tank), 68 minutes (leisure pool)</t>
  </si>
  <si>
    <t>Normal peak periods = 52 hours per week = 52 peak sessions</t>
  </si>
  <si>
    <t>Adult &amp; Junior 1% increase</t>
  </si>
  <si>
    <t>At one time capacity = 6m2 per person</t>
  </si>
  <si>
    <t>Adult &amp; Junior 2% increase</t>
  </si>
  <si>
    <t>At one time capacity is defined as the supply/capacity of one m2 of pool area at any one time</t>
  </si>
  <si>
    <t>Capacity per 212m2 (1 pool unit) = 35 people.  (number of metres squared divided by the at one time capacity of one m2)</t>
  </si>
  <si>
    <t>Population Increase Scenarios</t>
  </si>
  <si>
    <t>Similarly</t>
  </si>
  <si>
    <t xml:space="preserve">Population AND Participation </t>
  </si>
  <si>
    <t>National Overall Participation</t>
  </si>
  <si>
    <t>Ratio of National to Walsall</t>
  </si>
  <si>
    <t>National Participation</t>
  </si>
  <si>
    <t>Percentage Past Four Weeks</t>
  </si>
  <si>
    <t>Past Week</t>
  </si>
  <si>
    <t>Mean Days</t>
  </si>
  <si>
    <t>Swimming (includes diving, water polo etc)</t>
  </si>
  <si>
    <t>Aquafit</t>
  </si>
  <si>
    <t>Snorkelling</t>
  </si>
  <si>
    <t>Sub Aqua</t>
  </si>
  <si>
    <t>Total aquatic</t>
  </si>
  <si>
    <t>Participation in swimming - 16 year olds</t>
  </si>
  <si>
    <t>Participation in swimming - 17 year olds</t>
  </si>
  <si>
    <t>Participation in swimming - 18 year olds</t>
  </si>
  <si>
    <t>Participation in swimming - 19 year olds</t>
  </si>
  <si>
    <t>Average 16-19</t>
  </si>
  <si>
    <t>SPORTS HALL DEMAND MODEL</t>
  </si>
  <si>
    <t>Adult demand</t>
  </si>
  <si>
    <t xml:space="preserve">Local Authority </t>
  </si>
  <si>
    <t>Population: 16-74 year olds</t>
  </si>
  <si>
    <t>Demand Indicator</t>
  </si>
  <si>
    <t>Sport</t>
  </si>
  <si>
    <t>Participation Rate</t>
  </si>
  <si>
    <t>Weekly visits</t>
  </si>
  <si>
    <t>Annual visits</t>
  </si>
  <si>
    <t>Notes/Assumptions</t>
  </si>
  <si>
    <t>% participating in past 4 weeks (from AP2)</t>
  </si>
  <si>
    <t>Badminton</t>
  </si>
  <si>
    <t>Basketball</t>
  </si>
  <si>
    <t>Wheelchair Basketball</t>
  </si>
  <si>
    <t>Netball</t>
  </si>
  <si>
    <t>Gymnastics</t>
  </si>
  <si>
    <t>Football (indoor*)</t>
  </si>
  <si>
    <t>*indoor assumed to be 10% of football total</t>
  </si>
  <si>
    <t>Volleyball</t>
  </si>
  <si>
    <t>%  participating in the last week -             Weekly Users</t>
  </si>
  <si>
    <t xml:space="preserve">ADULTS: TOTAL ANNUAL VISITS </t>
  </si>
  <si>
    <t>Peak time visits</t>
  </si>
  <si>
    <t>Peak time visits can be altered</t>
  </si>
  <si>
    <t>Weekly peak visits</t>
  </si>
  <si>
    <t>Peak hours available</t>
  </si>
  <si>
    <t>Peak hours can be altered</t>
  </si>
  <si>
    <t>Courts required</t>
  </si>
  <si>
    <t>assumed average capacity of 4 people per court</t>
  </si>
  <si>
    <t>Young People demand</t>
  </si>
  <si>
    <t>Population: 5-15 year olds</t>
  </si>
  <si>
    <t xml:space="preserve">TOTAL ANNUAL VISITS </t>
  </si>
  <si>
    <t>Number of 4 court halls required</t>
  </si>
  <si>
    <t>TOTAL COURTS REQUIRED</t>
  </si>
  <si>
    <t>TOTAL 4 COURT HALLS REQUIRED</t>
  </si>
  <si>
    <t>Strategic Leisure Active People Demand Model</t>
  </si>
  <si>
    <t>65% of visits in peak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</si>
</sst>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0.000"/>
    <numFmt numFmtId="168" formatCode="0.0"/>
    <numFmt numFmtId="169" formatCode="0.000000"/>
    <numFmt numFmtId="170" formatCode="0.00000"/>
    <numFmt numFmtId="171" formatCode="0.0000"/>
    <numFmt numFmtId="172" formatCode="_-* #,##0.000_-;\-* #,##0.000_-;_-* &quot;-&quot;??_-;_-@_-"/>
    <numFmt numFmtId="173" formatCode="_-* #,##0.0000_-;\-* #,##0.0000_-;_-* &quot;-&quot;??_-;_-@_-"/>
    <numFmt numFmtId="174" formatCode="0.00000000"/>
    <numFmt numFmtId="175" formatCode="0.0000000"/>
    <numFmt numFmtId="176" formatCode="_-* #,##0.0_-;\-* #,##0.0_-;_-* &quot;-&quot;?_-;_-@_-"/>
    <numFmt numFmtId="177" formatCode="[$-2]\ #,##0_);[Red]\([$-2]\ 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0000_-;\-* #,##0.00000_-;_-* &quot;-&quot;??_-;_-@_-"/>
    <numFmt numFmtId="183" formatCode="_-* #,##0.000000_-;\-* #,##0.000000_-;_-* &quot;-&quot;??_-;_-@_-"/>
    <numFmt numFmtId="184" formatCode="_-* #,##0.0000000_-;\-* #,##0.0000000_-;_-* &quot;-&quot;??_-;_-@_-"/>
    <numFmt numFmtId="185" formatCode="_-* #,##0.00000000_-;\-* #,##0.00000000_-;_-* &quot;-&quot;??_-;_-@_-"/>
    <numFmt numFmtId="186" formatCode="_-* #,##0.000000000_-;\-* #,##0.000000000_-;_-* &quot;-&quot;??_-;_-@_-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0"/>
    </font>
    <font>
      <u val="single"/>
      <sz val="10"/>
      <name val="Arial"/>
      <family val="2"/>
    </font>
    <font>
      <sz val="9"/>
      <name val="Arial"/>
      <family val="0"/>
    </font>
    <font>
      <i/>
      <sz val="9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sz val="10"/>
      <color indexed="8"/>
      <name val="Arial"/>
      <family val="0"/>
    </font>
    <font>
      <b/>
      <u val="single"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0"/>
    </font>
    <font>
      <b/>
      <i/>
      <sz val="9"/>
      <name val="Arial"/>
      <family val="2"/>
    </font>
    <font>
      <b/>
      <sz val="12"/>
      <color indexed="52"/>
      <name val="Arial"/>
      <family val="2"/>
    </font>
    <font>
      <b/>
      <u val="single"/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2" borderId="4" xfId="22" applyFont="1" applyFill="1" applyBorder="1" applyAlignment="1">
      <alignment/>
      <protection/>
    </xf>
    <xf numFmtId="0" fontId="13" fillId="2" borderId="5" xfId="22" applyFont="1" applyFill="1" applyBorder="1" applyAlignment="1">
      <alignment horizontal="center"/>
      <protection/>
    </xf>
    <xf numFmtId="165" fontId="0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/>
    </xf>
    <xf numFmtId="0" fontId="15" fillId="3" borderId="0" xfId="0" applyFont="1" applyFill="1" applyBorder="1" applyAlignment="1">
      <alignment/>
    </xf>
    <xf numFmtId="165" fontId="15" fillId="3" borderId="0" xfId="15" applyNumberFormat="1" applyFont="1" applyFill="1" applyBorder="1" applyAlignment="1">
      <alignment/>
    </xf>
    <xf numFmtId="0" fontId="15" fillId="3" borderId="0" xfId="0" applyFont="1" applyFill="1" applyBorder="1" applyAlignment="1">
      <alignment horizontal="center"/>
    </xf>
    <xf numFmtId="3" fontId="15" fillId="3" borderId="0" xfId="0" applyNumberFormat="1" applyFont="1" applyFill="1" applyBorder="1" applyAlignment="1">
      <alignment/>
    </xf>
    <xf numFmtId="0" fontId="16" fillId="3" borderId="0" xfId="0" applyFont="1" applyFill="1" applyBorder="1" applyAlignment="1">
      <alignment/>
    </xf>
    <xf numFmtId="165" fontId="16" fillId="3" borderId="0" xfId="15" applyNumberFormat="1" applyFont="1" applyFill="1" applyBorder="1" applyAlignment="1">
      <alignment/>
    </xf>
    <xf numFmtId="0" fontId="16" fillId="3" borderId="0" xfId="0" applyFont="1" applyFill="1" applyBorder="1" applyAlignment="1">
      <alignment horizontal="center"/>
    </xf>
    <xf numFmtId="165" fontId="16" fillId="3" borderId="0" xfId="15" applyNumberFormat="1" applyFont="1" applyFill="1" applyBorder="1" applyAlignment="1">
      <alignment horizontal="center"/>
    </xf>
    <xf numFmtId="166" fontId="15" fillId="3" borderId="0" xfId="0" applyNumberFormat="1" applyFont="1" applyFill="1" applyBorder="1" applyAlignment="1">
      <alignment/>
    </xf>
    <xf numFmtId="1" fontId="15" fillId="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16" fillId="3" borderId="0" xfId="0" applyNumberFormat="1" applyFont="1" applyFill="1" applyBorder="1" applyAlignment="1">
      <alignment/>
    </xf>
    <xf numFmtId="165" fontId="19" fillId="3" borderId="0" xfId="15" applyNumberFormat="1" applyFont="1" applyFill="1" applyBorder="1" applyAlignment="1">
      <alignment/>
    </xf>
    <xf numFmtId="0" fontId="12" fillId="2" borderId="5" xfId="22" applyFont="1" applyFill="1" applyBorder="1" applyAlignment="1">
      <alignment/>
      <protection/>
    </xf>
    <xf numFmtId="0" fontId="12" fillId="2" borderId="5" xfId="21" applyFont="1" applyFill="1" applyBorder="1" applyAlignment="1">
      <alignment horizontal="center"/>
      <protection/>
    </xf>
    <xf numFmtId="3" fontId="6" fillId="3" borderId="0" xfId="0" applyNumberFormat="1" applyFont="1" applyFill="1" applyBorder="1" applyAlignment="1">
      <alignment/>
    </xf>
    <xf numFmtId="177" fontId="19" fillId="3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0" fillId="0" borderId="7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5" xfId="0" applyFont="1" applyBorder="1" applyAlignment="1">
      <alignment wrapText="1"/>
    </xf>
    <xf numFmtId="0" fontId="20" fillId="2" borderId="5" xfId="22" applyFont="1" applyFill="1" applyBorder="1" applyAlignment="1">
      <alignment horizontal="center"/>
      <protection/>
    </xf>
    <xf numFmtId="0" fontId="0" fillId="4" borderId="7" xfId="0" applyFill="1" applyBorder="1" applyAlignment="1">
      <alignment/>
    </xf>
    <xf numFmtId="0" fontId="0" fillId="4" borderId="7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wrapText="1"/>
    </xf>
    <xf numFmtId="0" fontId="0" fillId="4" borderId="5" xfId="0" applyFont="1" applyFill="1" applyBorder="1" applyAlignment="1">
      <alignment/>
    </xf>
    <xf numFmtId="0" fontId="0" fillId="4" borderId="5" xfId="0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5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5" fillId="4" borderId="4" xfId="22" applyFont="1" applyFill="1" applyBorder="1" applyAlignment="1">
      <alignment/>
      <protection/>
    </xf>
    <xf numFmtId="0" fontId="13" fillId="4" borderId="5" xfId="22" applyFont="1" applyFill="1" applyBorder="1" applyAlignment="1">
      <alignment horizontal="center"/>
      <protection/>
    </xf>
    <xf numFmtId="0" fontId="5" fillId="0" borderId="8" xfId="0" applyFont="1" applyBorder="1" applyAlignment="1">
      <alignment/>
    </xf>
    <xf numFmtId="0" fontId="17" fillId="0" borderId="6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6" fillId="3" borderId="2" xfId="0" applyFont="1" applyFill="1" applyBorder="1" applyAlignment="1">
      <alignment horizontal="center"/>
    </xf>
    <xf numFmtId="3" fontId="21" fillId="3" borderId="0" xfId="0" applyNumberFormat="1" applyFont="1" applyFill="1" applyBorder="1" applyAlignment="1">
      <alignment/>
    </xf>
    <xf numFmtId="3" fontId="15" fillId="3" borderId="2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3" fontId="16" fillId="3" borderId="2" xfId="0" applyNumberFormat="1" applyFont="1" applyFill="1" applyBorder="1" applyAlignment="1">
      <alignment/>
    </xf>
    <xf numFmtId="166" fontId="15" fillId="3" borderId="2" xfId="0" applyNumberFormat="1" applyFont="1" applyFill="1" applyBorder="1" applyAlignment="1">
      <alignment/>
    </xf>
    <xf numFmtId="165" fontId="15" fillId="3" borderId="2" xfId="15" applyNumberFormat="1" applyFont="1" applyFill="1" applyBorder="1" applyAlignment="1">
      <alignment/>
    </xf>
    <xf numFmtId="1" fontId="15" fillId="3" borderId="2" xfId="0" applyNumberFormat="1" applyFont="1" applyFill="1" applyBorder="1" applyAlignment="1">
      <alignment/>
    </xf>
    <xf numFmtId="165" fontId="0" fillId="0" borderId="2" xfId="15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8" fillId="0" borderId="3" xfId="0" applyFont="1" applyBorder="1" applyAlignment="1">
      <alignment/>
    </xf>
    <xf numFmtId="0" fontId="0" fillId="0" borderId="11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177" fontId="19" fillId="3" borderId="2" xfId="0" applyNumberFormat="1" applyFont="1" applyFill="1" applyBorder="1" applyAlignment="1">
      <alignment horizontal="center"/>
    </xf>
    <xf numFmtId="165" fontId="19" fillId="3" borderId="2" xfId="15" applyNumberFormat="1" applyFont="1" applyFill="1" applyBorder="1" applyAlignment="1">
      <alignment/>
    </xf>
    <xf numFmtId="0" fontId="16" fillId="3" borderId="0" xfId="0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5" borderId="12" xfId="0" applyFont="1" applyFill="1" applyBorder="1" applyAlignment="1">
      <alignment vertical="top" wrapText="1"/>
    </xf>
    <xf numFmtId="0" fontId="5" fillId="5" borderId="13" xfId="0" applyFont="1" applyFill="1" applyBorder="1" applyAlignment="1">
      <alignment vertical="top" wrapText="1"/>
    </xf>
    <xf numFmtId="0" fontId="5" fillId="5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10" fontId="0" fillId="0" borderId="16" xfId="0" applyNumberFormat="1" applyBorder="1" applyAlignment="1">
      <alignment vertical="top" wrapText="1"/>
    </xf>
    <xf numFmtId="3" fontId="0" fillId="0" borderId="16" xfId="0" applyNumberFormat="1" applyBorder="1" applyAlignment="1">
      <alignment vertical="top" wrapText="1"/>
    </xf>
    <xf numFmtId="0" fontId="16" fillId="3" borderId="0" xfId="0" applyFont="1" applyFill="1" applyAlignment="1">
      <alignment horizontal="center" vertical="center" wrapText="1"/>
    </xf>
    <xf numFmtId="3" fontId="0" fillId="0" borderId="17" xfId="0" applyNumberFormat="1" applyBorder="1" applyAlignment="1">
      <alignment vertical="top" wrapText="1"/>
    </xf>
    <xf numFmtId="0" fontId="8" fillId="0" borderId="0" xfId="0" applyFont="1" applyAlignment="1">
      <alignment vertical="top" wrapText="1"/>
    </xf>
    <xf numFmtId="1" fontId="0" fillId="0" borderId="0" xfId="0" applyNumberFormat="1" applyAlignment="1">
      <alignment vertical="top" wrapText="1"/>
    </xf>
    <xf numFmtId="9" fontId="0" fillId="0" borderId="0" xfId="0" applyNumberFormat="1" applyAlignment="1">
      <alignment vertical="top" wrapText="1"/>
    </xf>
    <xf numFmtId="1" fontId="5" fillId="0" borderId="0" xfId="0" applyNumberFormat="1" applyFont="1" applyAlignment="1">
      <alignment vertical="top" wrapText="1"/>
    </xf>
    <xf numFmtId="2" fontId="5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5" fillId="0" borderId="8" xfId="0" applyFont="1" applyBorder="1" applyAlignment="1">
      <alignment vertical="top" wrapText="1"/>
    </xf>
    <xf numFmtId="3" fontId="5" fillId="0" borderId="9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2" fontId="5" fillId="0" borderId="11" xfId="0" applyNumberFormat="1" applyFont="1" applyBorder="1" applyAlignment="1">
      <alignment vertical="top" wrapText="1"/>
    </xf>
    <xf numFmtId="0" fontId="5" fillId="6" borderId="0" xfId="0" applyFont="1" applyFill="1" applyAlignment="1">
      <alignment vertical="top" wrapText="1"/>
    </xf>
    <xf numFmtId="0" fontId="0" fillId="6" borderId="0" xfId="0" applyFill="1" applyAlignment="1">
      <alignment vertical="top" wrapText="1"/>
    </xf>
    <xf numFmtId="0" fontId="8" fillId="6" borderId="0" xfId="0" applyFont="1" applyFill="1" applyAlignment="1">
      <alignment vertical="top" wrapText="1"/>
    </xf>
    <xf numFmtId="3" fontId="0" fillId="0" borderId="0" xfId="0" applyNumberFormat="1" applyAlignment="1">
      <alignment vertical="top" wrapText="1"/>
    </xf>
    <xf numFmtId="0" fontId="16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top" wrapText="1"/>
    </xf>
    <xf numFmtId="0" fontId="16" fillId="3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left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vertical="top" wrapText="1"/>
    </xf>
    <xf numFmtId="10" fontId="16" fillId="3" borderId="0" xfId="23" applyNumberFormat="1" applyFont="1" applyFill="1" applyAlignment="1">
      <alignment horizontal="center" vertical="top" wrapText="1"/>
    </xf>
    <xf numFmtId="165" fontId="16" fillId="3" borderId="0" xfId="0" applyNumberFormat="1" applyFont="1" applyFill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6" fillId="3" borderId="0" xfId="0" applyFont="1" applyFill="1" applyAlignment="1">
      <alignment horizontal="center" vertical="center" wrapText="1"/>
    </xf>
    <xf numFmtId="9" fontId="16" fillId="3" borderId="0" xfId="23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10" fontId="16" fillId="0" borderId="0" xfId="23" applyNumberFormat="1" applyFont="1" applyFill="1" applyAlignment="1">
      <alignment horizontal="center" vertical="top" wrapText="1"/>
    </xf>
    <xf numFmtId="165" fontId="0" fillId="0" borderId="0" xfId="0" applyNumberFormat="1" applyFill="1" applyAlignment="1">
      <alignment vertical="top" wrapText="1"/>
    </xf>
    <xf numFmtId="165" fontId="16" fillId="3" borderId="0" xfId="0" applyNumberFormat="1" applyFont="1" applyFill="1" applyAlignment="1">
      <alignment horizontal="right" vertical="top" wrapText="1"/>
    </xf>
    <xf numFmtId="165" fontId="5" fillId="7" borderId="5" xfId="0" applyNumberFormat="1" applyFont="1" applyFill="1" applyBorder="1" applyAlignment="1">
      <alignment vertical="top" wrapText="1"/>
    </xf>
    <xf numFmtId="165" fontId="16" fillId="0" borderId="0" xfId="0" applyNumberFormat="1" applyFont="1" applyFill="1" applyAlignment="1">
      <alignment horizontal="right" vertical="top" wrapText="1"/>
    </xf>
    <xf numFmtId="165" fontId="0" fillId="0" borderId="0" xfId="0" applyNumberFormat="1" applyFill="1" applyAlignment="1">
      <alignment horizontal="right" vertical="top" wrapText="1"/>
    </xf>
    <xf numFmtId="165" fontId="5" fillId="0" borderId="0" xfId="0" applyNumberFormat="1" applyFont="1" applyFill="1" applyBorder="1" applyAlignment="1">
      <alignment vertical="top" wrapText="1"/>
    </xf>
    <xf numFmtId="165" fontId="5" fillId="7" borderId="18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165" fontId="5" fillId="0" borderId="5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right" vertical="top" wrapText="1"/>
    </xf>
    <xf numFmtId="0" fontId="16" fillId="8" borderId="0" xfId="0" applyFont="1" applyFill="1" applyAlignment="1">
      <alignment vertical="top" wrapText="1"/>
    </xf>
    <xf numFmtId="0" fontId="0" fillId="8" borderId="0" xfId="0" applyFill="1" applyAlignment="1">
      <alignment vertical="top" wrapText="1"/>
    </xf>
    <xf numFmtId="165" fontId="16" fillId="8" borderId="0" xfId="0" applyNumberFormat="1" applyFont="1" applyFill="1" applyAlignment="1">
      <alignment horizontal="right" vertical="top" wrapText="1"/>
    </xf>
    <xf numFmtId="165" fontId="16" fillId="3" borderId="0" xfId="0" applyNumberFormat="1" applyFont="1" applyFill="1" applyAlignment="1">
      <alignment horizontal="right" vertical="top" wrapText="1"/>
    </xf>
    <xf numFmtId="165" fontId="16" fillId="3" borderId="19" xfId="0" applyNumberFormat="1" applyFont="1" applyFill="1" applyBorder="1" applyAlignment="1">
      <alignment horizontal="right" vertical="top" wrapText="1"/>
    </xf>
    <xf numFmtId="0" fontId="16" fillId="3" borderId="0" xfId="0" applyFont="1" applyFill="1" applyAlignment="1">
      <alignment horizontal="left" vertical="center" wrapText="1"/>
    </xf>
    <xf numFmtId="165" fontId="0" fillId="3" borderId="0" xfId="0" applyNumberFormat="1" applyFill="1" applyAlignment="1">
      <alignment horizontal="right" vertical="top" wrapText="1"/>
    </xf>
    <xf numFmtId="9" fontId="5" fillId="0" borderId="20" xfId="23" applyFont="1" applyFill="1" applyBorder="1" applyAlignment="1">
      <alignment horizontal="center" vertical="center" wrapText="1"/>
    </xf>
    <xf numFmtId="9" fontId="5" fillId="0" borderId="21" xfId="23" applyFont="1" applyFill="1" applyBorder="1" applyAlignment="1">
      <alignment horizontal="center" vertical="center" wrapText="1"/>
    </xf>
    <xf numFmtId="9" fontId="5" fillId="0" borderId="7" xfId="23" applyFont="1" applyFill="1" applyBorder="1" applyAlignment="1">
      <alignment horizontal="center" vertical="center" wrapText="1"/>
    </xf>
    <xf numFmtId="165" fontId="5" fillId="0" borderId="22" xfId="15" applyNumberFormat="1" applyFont="1" applyBorder="1" applyAlignment="1">
      <alignment horizontal="center" vertical="center" wrapText="1"/>
    </xf>
    <xf numFmtId="165" fontId="5" fillId="0" borderId="18" xfId="15" applyNumberFormat="1" applyFont="1" applyBorder="1" applyAlignment="1">
      <alignment horizontal="center" vertical="center" wrapText="1"/>
    </xf>
    <xf numFmtId="0" fontId="23" fillId="3" borderId="0" xfId="0" applyFont="1" applyFill="1" applyAlignment="1">
      <alignment horizontal="left" vertical="center" wrapText="1"/>
    </xf>
    <xf numFmtId="0" fontId="18" fillId="7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right"/>
    </xf>
    <xf numFmtId="0" fontId="0" fillId="2" borderId="22" xfId="21" applyFont="1" applyFill="1" applyBorder="1" applyAlignment="1">
      <alignment horizontal="center"/>
      <protection/>
    </xf>
    <xf numFmtId="0" fontId="0" fillId="2" borderId="18" xfId="21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ERTSMERE H&amp;F - FIA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="95" zoomScaleNormal="95" workbookViewId="0" topLeftCell="A21">
      <selection activeCell="G39" sqref="G39:I39"/>
    </sheetView>
  </sheetViews>
  <sheetFormatPr defaultColWidth="9.140625" defaultRowHeight="12.75"/>
  <cols>
    <col min="1" max="1" width="30.28125" style="90" customWidth="1"/>
    <col min="2" max="3" width="19.140625" style="90" customWidth="1"/>
    <col min="4" max="4" width="13.28125" style="90" customWidth="1"/>
    <col min="5" max="5" width="13.140625" style="90" customWidth="1"/>
    <col min="6" max="6" width="12.7109375" style="90" customWidth="1"/>
    <col min="7" max="7" width="12.8515625" style="90" customWidth="1"/>
    <col min="8" max="8" width="12.7109375" style="90" customWidth="1"/>
    <col min="9" max="9" width="11.140625" style="90" customWidth="1"/>
    <col min="10" max="10" width="12.00390625" style="90" customWidth="1"/>
    <col min="11" max="11" width="12.140625" style="90" bestFit="1" customWidth="1"/>
    <col min="12" max="16384" width="9.140625" style="90" customWidth="1"/>
  </cols>
  <sheetData>
    <row r="1" ht="12.75">
      <c r="A1" s="89" t="s">
        <v>101</v>
      </c>
    </row>
    <row r="2" ht="13.5" thickBot="1"/>
    <row r="3" spans="1:11" ht="73.5" customHeight="1" thickBot="1">
      <c r="A3" s="91" t="s">
        <v>96</v>
      </c>
      <c r="B3" s="92" t="s">
        <v>102</v>
      </c>
      <c r="C3" s="92" t="s">
        <v>103</v>
      </c>
      <c r="D3" s="92" t="s">
        <v>104</v>
      </c>
      <c r="E3" s="92" t="s">
        <v>105</v>
      </c>
      <c r="F3" s="92" t="s">
        <v>106</v>
      </c>
      <c r="G3" s="92" t="s">
        <v>107</v>
      </c>
      <c r="H3" s="92" t="s">
        <v>108</v>
      </c>
      <c r="I3" s="92" t="s">
        <v>109</v>
      </c>
      <c r="J3" s="92" t="s">
        <v>110</v>
      </c>
      <c r="K3" s="93" t="s">
        <v>111</v>
      </c>
    </row>
    <row r="4" spans="1:11" ht="18.75" customHeight="1" thickBot="1">
      <c r="A4" s="94"/>
      <c r="B4" s="95">
        <v>11.47</v>
      </c>
      <c r="C4" s="95">
        <f>B4*58%</f>
        <v>6.6526</v>
      </c>
      <c r="D4" s="95"/>
      <c r="E4" s="95"/>
      <c r="F4" s="95"/>
      <c r="G4" s="95"/>
      <c r="H4" s="95"/>
      <c r="I4" s="95"/>
      <c r="J4" s="95"/>
      <c r="K4" s="96"/>
    </row>
    <row r="5" spans="1:12" ht="39" thickBot="1">
      <c r="A5" s="97" t="s">
        <v>112</v>
      </c>
      <c r="B5" s="98">
        <v>0.1147</v>
      </c>
      <c r="C5" s="98">
        <v>0.0665</v>
      </c>
      <c r="D5" s="99">
        <v>184159</v>
      </c>
      <c r="E5" s="99">
        <f>D5*B5</f>
        <v>21123.0373</v>
      </c>
      <c r="F5" s="99">
        <f>E5*12</f>
        <v>253476.4476</v>
      </c>
      <c r="G5" s="99">
        <f>D5*C5</f>
        <v>12246.5735</v>
      </c>
      <c r="H5" s="99">
        <f>G5*52</f>
        <v>636821.822</v>
      </c>
      <c r="I5" s="99">
        <f>F5+H5</f>
        <v>890298.2696</v>
      </c>
      <c r="J5" s="99">
        <f>I5*65%</f>
        <v>578693.87524</v>
      </c>
      <c r="K5" s="101">
        <f>J5/52</f>
        <v>11128.728369999999</v>
      </c>
      <c r="L5" s="90" t="s">
        <v>197</v>
      </c>
    </row>
    <row r="6" spans="2:12" ht="39" thickBot="1">
      <c r="B6" s="98">
        <v>0.1147</v>
      </c>
      <c r="C6" s="98">
        <v>0.0665</v>
      </c>
      <c r="D6" s="99">
        <v>184160</v>
      </c>
      <c r="E6" s="99">
        <f>D6*B6</f>
        <v>21123.152</v>
      </c>
      <c r="F6" s="99">
        <f>E6*12</f>
        <v>253477.82399999996</v>
      </c>
      <c r="G6" s="99">
        <f>D6*C6</f>
        <v>12246.640000000001</v>
      </c>
      <c r="H6" s="99">
        <f>G6*52</f>
        <v>636825.28</v>
      </c>
      <c r="I6" s="99">
        <f>F6+H6</f>
        <v>890303.104</v>
      </c>
      <c r="J6" s="99">
        <f>I6*100%</f>
        <v>890303.104</v>
      </c>
      <c r="K6" s="101">
        <f>J6/52</f>
        <v>17121.21353846154</v>
      </c>
      <c r="L6" s="90" t="s">
        <v>113</v>
      </c>
    </row>
    <row r="9" spans="1:3" ht="12.75">
      <c r="A9" s="89" t="s">
        <v>114</v>
      </c>
      <c r="B9" s="90" t="s">
        <v>115</v>
      </c>
      <c r="C9" s="90" t="s">
        <v>116</v>
      </c>
    </row>
    <row r="10" spans="1:3" ht="24.75" customHeight="1">
      <c r="A10" s="102" t="s">
        <v>117</v>
      </c>
      <c r="B10" s="103">
        <f>K5/46</f>
        <v>241.92887760869561</v>
      </c>
      <c r="C10" s="103">
        <f>K6/46</f>
        <v>372.20029431438127</v>
      </c>
    </row>
    <row r="11" spans="1:3" ht="24">
      <c r="A11" s="102" t="s">
        <v>118</v>
      </c>
      <c r="B11" s="103">
        <f>B10*6</f>
        <v>1451.5732656521736</v>
      </c>
      <c r="C11" s="103">
        <f>SUM(C10*6)</f>
        <v>2233.201765886288</v>
      </c>
    </row>
    <row r="12" spans="1:3" ht="24">
      <c r="A12" s="102" t="s">
        <v>119</v>
      </c>
      <c r="B12" s="104">
        <v>0.7</v>
      </c>
      <c r="C12" s="104">
        <v>0.7</v>
      </c>
    </row>
    <row r="13" spans="1:3" ht="12.75">
      <c r="A13" s="102" t="s">
        <v>120</v>
      </c>
      <c r="B13" s="105">
        <f>B11*B12</f>
        <v>1016.1012859565215</v>
      </c>
      <c r="C13" s="105">
        <f>C11*C12</f>
        <v>1563.2412361204015</v>
      </c>
    </row>
    <row r="15" spans="1:3" ht="12.75">
      <c r="A15" s="102" t="s">
        <v>121</v>
      </c>
      <c r="B15" s="106">
        <f>B13/212</f>
        <v>4.7929305941345355</v>
      </c>
      <c r="C15" s="106">
        <f>SUM(C13/212)</f>
        <v>7.373779415662272</v>
      </c>
    </row>
    <row r="18" spans="1:2" ht="36">
      <c r="A18" s="89" t="s">
        <v>122</v>
      </c>
      <c r="B18" s="107" t="s">
        <v>123</v>
      </c>
    </row>
    <row r="19" ht="13.5" thickBot="1"/>
    <row r="20" spans="1:11" ht="102.75" thickBot="1">
      <c r="A20" s="91" t="s">
        <v>96</v>
      </c>
      <c r="B20" s="92" t="s">
        <v>124</v>
      </c>
      <c r="C20" s="92" t="s">
        <v>103</v>
      </c>
      <c r="D20" s="92" t="s">
        <v>125</v>
      </c>
      <c r="E20" s="92" t="s">
        <v>105</v>
      </c>
      <c r="F20" s="92" t="s">
        <v>106</v>
      </c>
      <c r="G20" s="92" t="s">
        <v>107</v>
      </c>
      <c r="H20" s="92" t="s">
        <v>108</v>
      </c>
      <c r="I20" s="92" t="s">
        <v>109</v>
      </c>
      <c r="J20" s="92" t="s">
        <v>126</v>
      </c>
      <c r="K20" s="93" t="s">
        <v>111</v>
      </c>
    </row>
    <row r="21" spans="1:11" ht="13.5" thickBot="1">
      <c r="A21" s="97" t="s">
        <v>112</v>
      </c>
      <c r="B21" s="98">
        <v>0.1357</v>
      </c>
      <c r="C21" s="98">
        <v>0.0789</v>
      </c>
      <c r="D21" s="99">
        <v>51545</v>
      </c>
      <c r="E21" s="99">
        <f>D21*B21</f>
        <v>6994.656499999999</v>
      </c>
      <c r="F21" s="99">
        <f>E21*12</f>
        <v>83935.878</v>
      </c>
      <c r="G21" s="99">
        <f>D21*C21</f>
        <v>4066.9004999999997</v>
      </c>
      <c r="H21" s="99">
        <f>G21*52</f>
        <v>211478.826</v>
      </c>
      <c r="I21" s="99">
        <f>F21+H21</f>
        <v>295414.704</v>
      </c>
      <c r="J21" s="99">
        <f>I21*60%</f>
        <v>177248.8224</v>
      </c>
      <c r="K21" s="101">
        <f>J21/52</f>
        <v>3408.6312000000003</v>
      </c>
    </row>
    <row r="22" spans="2:11" ht="13.5" thickBot="1">
      <c r="B22" s="98">
        <v>0.1357</v>
      </c>
      <c r="C22" s="98">
        <v>0.0789</v>
      </c>
      <c r="D22" s="99">
        <v>51546</v>
      </c>
      <c r="E22" s="99">
        <f>D22*B22</f>
        <v>6994.792199999999</v>
      </c>
      <c r="F22" s="99">
        <f>E22*12</f>
        <v>83937.50639999998</v>
      </c>
      <c r="G22" s="99">
        <f>D22*C22</f>
        <v>4066.9793999999997</v>
      </c>
      <c r="H22" s="99">
        <f>G22*52</f>
        <v>211482.9288</v>
      </c>
      <c r="I22" s="99">
        <f>F22+H22</f>
        <v>295420.43519999995</v>
      </c>
      <c r="J22" s="99">
        <f>I22*100%</f>
        <v>295420.43519999995</v>
      </c>
      <c r="K22" s="101">
        <f>J22/52</f>
        <v>5681.162215384615</v>
      </c>
    </row>
    <row r="25" ht="12.75">
      <c r="A25" s="89" t="s">
        <v>114</v>
      </c>
    </row>
    <row r="26" spans="1:3" ht="24" customHeight="1">
      <c r="A26" s="102" t="s">
        <v>117</v>
      </c>
      <c r="B26" s="103">
        <f>K21/46</f>
        <v>74.10067826086957</v>
      </c>
      <c r="C26" s="103">
        <f>SUM(K22/46)</f>
        <v>123.50352642140467</v>
      </c>
    </row>
    <row r="27" spans="1:3" ht="24">
      <c r="A27" s="102" t="s">
        <v>118</v>
      </c>
      <c r="B27" s="103">
        <f>B26*6</f>
        <v>444.6040695652174</v>
      </c>
      <c r="C27" s="103">
        <f>C26*6</f>
        <v>741.021158528428</v>
      </c>
    </row>
    <row r="28" spans="1:3" ht="24">
      <c r="A28" s="102" t="s">
        <v>119</v>
      </c>
      <c r="B28" s="104">
        <v>0.7</v>
      </c>
      <c r="C28" s="104">
        <v>0.7</v>
      </c>
    </row>
    <row r="29" spans="1:3" ht="12.75">
      <c r="A29" s="102" t="s">
        <v>120</v>
      </c>
      <c r="B29" s="105">
        <f>B27*B28</f>
        <v>311.22284869565215</v>
      </c>
      <c r="C29" s="105">
        <f>C27*C28</f>
        <v>518.7148109698996</v>
      </c>
    </row>
    <row r="31" spans="1:3" ht="12.75">
      <c r="A31" s="102" t="s">
        <v>127</v>
      </c>
      <c r="B31" s="106">
        <f>B29/212</f>
        <v>1.4680323051681705</v>
      </c>
      <c r="C31" s="106">
        <f>C29/212</f>
        <v>2.4467679762731116</v>
      </c>
    </row>
    <row r="32" spans="1:2" ht="13.5" thickBot="1">
      <c r="A32" s="102"/>
      <c r="B32" s="106"/>
    </row>
    <row r="33" spans="1:3" ht="12.75">
      <c r="A33" s="108" t="s">
        <v>128</v>
      </c>
      <c r="B33" s="109">
        <f>B13+B29</f>
        <v>1327.3241346521736</v>
      </c>
      <c r="C33" s="109">
        <f>C13+C29</f>
        <v>2081.956047090301</v>
      </c>
    </row>
    <row r="34" spans="1:3" ht="26.25" thickBot="1">
      <c r="A34" s="110" t="s">
        <v>129</v>
      </c>
      <c r="B34" s="111">
        <f>B15+B31</f>
        <v>6.260962899302706</v>
      </c>
      <c r="C34" s="111">
        <f>C15+C31</f>
        <v>9.820547391935383</v>
      </c>
    </row>
    <row r="38" spans="1:7" ht="25.5">
      <c r="A38" s="112" t="s">
        <v>130</v>
      </c>
      <c r="B38" s="113" t="s">
        <v>131</v>
      </c>
      <c r="G38" s="89" t="s">
        <v>132</v>
      </c>
    </row>
    <row r="39" spans="1:8" ht="48" customHeight="1">
      <c r="A39" s="113" t="s">
        <v>133</v>
      </c>
      <c r="B39" s="113"/>
      <c r="G39" s="114" t="s">
        <v>134</v>
      </c>
      <c r="H39" s="117"/>
    </row>
    <row r="40" spans="1:8" ht="72">
      <c r="A40" s="113" t="s">
        <v>135</v>
      </c>
      <c r="B40" s="113"/>
      <c r="G40" s="107" t="s">
        <v>136</v>
      </c>
      <c r="H40" s="117"/>
    </row>
    <row r="41" spans="1:8" ht="60">
      <c r="A41" s="113"/>
      <c r="B41" s="113"/>
      <c r="G41" s="114" t="s">
        <v>137</v>
      </c>
      <c r="H41" s="117"/>
    </row>
    <row r="42" spans="1:8" ht="36">
      <c r="A42" s="113" t="s">
        <v>138</v>
      </c>
      <c r="B42" s="113"/>
      <c r="G42" s="114" t="s">
        <v>139</v>
      </c>
      <c r="H42" s="117"/>
    </row>
    <row r="43" spans="1:7" ht="84">
      <c r="A43" s="113" t="s">
        <v>140</v>
      </c>
      <c r="B43" s="113"/>
      <c r="G43" s="107" t="s">
        <v>141</v>
      </c>
    </row>
    <row r="44" ht="132">
      <c r="G44" s="107" t="s">
        <v>142</v>
      </c>
    </row>
    <row r="45" spans="1:2" ht="12.75">
      <c r="A45" s="112" t="s">
        <v>143</v>
      </c>
      <c r="B45" s="113" t="s">
        <v>144</v>
      </c>
    </row>
    <row r="47" spans="1:2" ht="12.75">
      <c r="A47" s="112" t="s">
        <v>145</v>
      </c>
      <c r="B47" s="113" t="s">
        <v>144</v>
      </c>
    </row>
    <row r="52" spans="1:3" ht="25.5">
      <c r="A52" s="89" t="s">
        <v>146</v>
      </c>
      <c r="B52" s="89" t="s">
        <v>112</v>
      </c>
      <c r="C52" s="89" t="s">
        <v>147</v>
      </c>
    </row>
    <row r="53" spans="1:3" ht="12.75">
      <c r="A53" s="90">
        <v>13.44</v>
      </c>
      <c r="B53" s="90">
        <v>11.47</v>
      </c>
      <c r="C53" s="90">
        <f>A53/B53</f>
        <v>1.171752397558849</v>
      </c>
    </row>
    <row r="56" spans="1:4" ht="25.5">
      <c r="A56" s="89" t="s">
        <v>148</v>
      </c>
      <c r="B56" s="89" t="s">
        <v>149</v>
      </c>
      <c r="C56" s="89" t="s">
        <v>150</v>
      </c>
      <c r="D56" s="89" t="s">
        <v>151</v>
      </c>
    </row>
    <row r="57" spans="1:8" ht="25.5">
      <c r="A57" s="90" t="s">
        <v>152</v>
      </c>
      <c r="B57" s="90">
        <v>13.44</v>
      </c>
      <c r="C57" s="90">
        <v>7.83</v>
      </c>
      <c r="E57" s="115">
        <v>150000</v>
      </c>
      <c r="F57" s="115"/>
      <c r="H57" s="90">
        <f>B57/C57</f>
        <v>1.7164750957854404</v>
      </c>
    </row>
    <row r="58" spans="1:4" ht="12.75">
      <c r="A58" s="90" t="s">
        <v>153</v>
      </c>
      <c r="B58" s="90">
        <v>0.44</v>
      </c>
      <c r="C58" s="90">
        <v>0.21</v>
      </c>
      <c r="D58" s="90">
        <v>5</v>
      </c>
    </row>
    <row r="59" spans="1:4" ht="12.75">
      <c r="A59" s="90" t="s">
        <v>154</v>
      </c>
      <c r="B59" s="90">
        <v>0.02</v>
      </c>
      <c r="C59" s="90">
        <v>0.01</v>
      </c>
      <c r="D59" s="90">
        <v>4</v>
      </c>
    </row>
    <row r="60" spans="1:4" ht="12.75">
      <c r="A60" s="90" t="s">
        <v>155</v>
      </c>
      <c r="B60" s="90">
        <v>0.13</v>
      </c>
      <c r="C60" s="90">
        <v>0.06</v>
      </c>
      <c r="D60" s="90">
        <v>4</v>
      </c>
    </row>
    <row r="61" spans="1:3" ht="12.75">
      <c r="A61" s="90" t="s">
        <v>156</v>
      </c>
      <c r="B61" s="90">
        <f>SUM(B57:B60)</f>
        <v>14.03</v>
      </c>
      <c r="C61" s="90">
        <f>SUM(C57:C60)</f>
        <v>8.110000000000001</v>
      </c>
    </row>
    <row r="63" spans="1:2" ht="25.5">
      <c r="A63" s="90" t="s">
        <v>157</v>
      </c>
      <c r="B63" s="90">
        <v>15.88</v>
      </c>
    </row>
    <row r="64" spans="1:2" ht="25.5">
      <c r="A64" s="90" t="s">
        <v>158</v>
      </c>
      <c r="B64" s="90">
        <v>16.59</v>
      </c>
    </row>
    <row r="65" spans="1:2" ht="25.5">
      <c r="A65" s="90" t="s">
        <v>159</v>
      </c>
      <c r="B65" s="90">
        <v>15.24</v>
      </c>
    </row>
    <row r="66" spans="1:2" ht="25.5">
      <c r="A66" s="90" t="s">
        <v>160</v>
      </c>
      <c r="B66" s="90">
        <v>16.18</v>
      </c>
    </row>
    <row r="67" spans="1:2" ht="12.75">
      <c r="A67" s="89" t="s">
        <v>161</v>
      </c>
      <c r="B67" s="89">
        <f>AVERAGE(B63:B66)</f>
        <v>15.9725</v>
      </c>
    </row>
  </sheetData>
  <printOptions/>
  <pageMargins left="0.75" right="0.75" top="1" bottom="1" header="0.5" footer="0.5"/>
  <pageSetup horizontalDpi="600" verticalDpi="600" orientation="landscape" paperSize="8" r:id="rId1"/>
  <headerFooter alignWithMargins="0">
    <oddHeader>&amp;L&amp;16APPENDIX 6 - INDOOR FACILITIES ANALYSIS - SWWIMMING POOLS</oddHeader>
    <oddFooter>&amp;CPage &amp;P</oddFooter>
  </headerFooter>
  <ignoredErrors>
    <ignoredError sqref="G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19">
      <selection activeCell="H27" sqref="H27"/>
    </sheetView>
  </sheetViews>
  <sheetFormatPr defaultColWidth="9.140625" defaultRowHeight="12.75"/>
  <cols>
    <col min="1" max="2" width="23.57421875" style="90" customWidth="1"/>
    <col min="3" max="3" width="19.140625" style="90" customWidth="1"/>
    <col min="4" max="4" width="19.8515625" style="90" customWidth="1"/>
    <col min="5" max="5" width="17.140625" style="90" customWidth="1"/>
    <col min="6" max="6" width="15.00390625" style="90" customWidth="1"/>
    <col min="7" max="7" width="40.57421875" style="90" customWidth="1"/>
    <col min="8" max="8" width="37.7109375" style="90" customWidth="1"/>
    <col min="9" max="9" width="12.7109375" style="90" customWidth="1"/>
    <col min="10" max="10" width="11.140625" style="90" customWidth="1"/>
    <col min="11" max="11" width="12.00390625" style="90" customWidth="1"/>
    <col min="12" max="12" width="12.140625" style="90" bestFit="1" customWidth="1"/>
    <col min="13" max="16384" width="9.140625" style="90" customWidth="1"/>
  </cols>
  <sheetData>
    <row r="1" spans="1:4" ht="16.5" customHeight="1">
      <c r="A1" s="160" t="s">
        <v>196</v>
      </c>
      <c r="B1" s="160"/>
      <c r="C1" s="160"/>
      <c r="D1" s="160"/>
    </row>
    <row r="2" ht="5.25" customHeight="1"/>
    <row r="3" spans="1:4" ht="15.75" customHeight="1">
      <c r="A3" s="159" t="s">
        <v>162</v>
      </c>
      <c r="B3" s="159"/>
      <c r="C3" s="159"/>
      <c r="D3" s="159"/>
    </row>
    <row r="4" ht="3.75" customHeight="1"/>
    <row r="5" spans="1:4" ht="12.75" customHeight="1">
      <c r="A5" s="158" t="s">
        <v>163</v>
      </c>
      <c r="B5" s="158"/>
      <c r="C5" s="158"/>
      <c r="D5" s="158"/>
    </row>
    <row r="6" spans="1:4" ht="1.5" customHeight="1" hidden="1">
      <c r="A6" s="158"/>
      <c r="B6" s="158"/>
      <c r="C6" s="158"/>
      <c r="D6" s="158"/>
    </row>
    <row r="7" spans="1:2" s="117" customFormat="1" ht="3" customHeight="1">
      <c r="A7" s="116"/>
      <c r="B7" s="116"/>
    </row>
    <row r="8" spans="1:4" ht="22.5" customHeight="1">
      <c r="A8" s="151" t="s">
        <v>164</v>
      </c>
      <c r="B8" s="151"/>
      <c r="C8" s="161" t="s">
        <v>112</v>
      </c>
      <c r="D8" s="162"/>
    </row>
    <row r="9" spans="1:3" s="117" customFormat="1" ht="2.25" customHeight="1">
      <c r="A9" s="116"/>
      <c r="B9" s="116"/>
      <c r="C9" s="119"/>
    </row>
    <row r="10" spans="1:4" ht="16.5" customHeight="1">
      <c r="A10" s="151" t="s">
        <v>165</v>
      </c>
      <c r="B10" s="151"/>
      <c r="C10" s="156">
        <v>184159</v>
      </c>
      <c r="D10" s="157"/>
    </row>
    <row r="11" spans="1:3" s="117" customFormat="1" ht="1.5" customHeight="1">
      <c r="A11" s="116"/>
      <c r="B11" s="116"/>
      <c r="C11" s="119"/>
    </row>
    <row r="12" spans="1:7" s="117" customFormat="1" ht="31.5" customHeight="1">
      <c r="A12" s="120" t="s">
        <v>166</v>
      </c>
      <c r="B12" s="120" t="s">
        <v>167</v>
      </c>
      <c r="C12" s="121" t="s">
        <v>168</v>
      </c>
      <c r="D12" s="122" t="s">
        <v>105</v>
      </c>
      <c r="E12" s="123" t="s">
        <v>169</v>
      </c>
      <c r="F12" s="123" t="s">
        <v>170</v>
      </c>
      <c r="G12" s="124" t="s">
        <v>171</v>
      </c>
    </row>
    <row r="13" spans="1:6" ht="15" customHeight="1">
      <c r="A13" s="151" t="s">
        <v>172</v>
      </c>
      <c r="B13" s="125" t="s">
        <v>173</v>
      </c>
      <c r="C13" s="126">
        <v>0.0227</v>
      </c>
      <c r="D13" s="127">
        <f>SUM(C10*C13)</f>
        <v>4180.4093</v>
      </c>
      <c r="E13" s="127">
        <f>SUM(F13/52)</f>
        <v>964.7098384615385</v>
      </c>
      <c r="F13" s="127">
        <f>SUM(D13*12)</f>
        <v>50164.91160000001</v>
      </c>
    </row>
    <row r="14" spans="1:6" ht="12.75">
      <c r="A14" s="151"/>
      <c r="B14" s="125" t="s">
        <v>174</v>
      </c>
      <c r="C14" s="126">
        <v>0.008</v>
      </c>
      <c r="D14" s="127">
        <f>SUM(C10*C14)</f>
        <v>1473.272</v>
      </c>
      <c r="E14" s="127">
        <f aca="true" t="shared" si="0" ref="E14:E19">SUM(F14/52)</f>
        <v>339.9858461538461</v>
      </c>
      <c r="F14" s="127">
        <f aca="true" t="shared" si="1" ref="F14:F19">SUM(D14*12)</f>
        <v>17679.264</v>
      </c>
    </row>
    <row r="15" spans="1:6" ht="12.75">
      <c r="A15" s="151"/>
      <c r="B15" s="125" t="s">
        <v>175</v>
      </c>
      <c r="C15" s="126">
        <v>0.0001</v>
      </c>
      <c r="D15" s="127">
        <f>SUM(C10*C15)</f>
        <v>18.4159</v>
      </c>
      <c r="E15" s="127">
        <f t="shared" si="0"/>
        <v>4.249823076923077</v>
      </c>
      <c r="F15" s="127">
        <f t="shared" si="1"/>
        <v>220.9908</v>
      </c>
    </row>
    <row r="16" spans="1:6" ht="12.75">
      <c r="A16" s="151"/>
      <c r="B16" s="125" t="s">
        <v>176</v>
      </c>
      <c r="C16" s="126">
        <v>0.0045</v>
      </c>
      <c r="D16" s="127">
        <f>SUM(C10*C16)</f>
        <v>828.7154999999999</v>
      </c>
      <c r="E16" s="127">
        <f t="shared" si="0"/>
        <v>191.24203846153844</v>
      </c>
      <c r="F16" s="127">
        <f t="shared" si="1"/>
        <v>9944.586</v>
      </c>
    </row>
    <row r="17" spans="1:6" ht="12.75">
      <c r="A17" s="151"/>
      <c r="B17" s="125" t="s">
        <v>177</v>
      </c>
      <c r="C17" s="126">
        <v>0.0045</v>
      </c>
      <c r="D17" s="127">
        <f>SUM(C10*C17)</f>
        <v>828.7154999999999</v>
      </c>
      <c r="E17" s="127">
        <f t="shared" si="0"/>
        <v>191.24203846153844</v>
      </c>
      <c r="F17" s="127">
        <f t="shared" si="1"/>
        <v>9944.586</v>
      </c>
    </row>
    <row r="18" spans="1:7" ht="15" customHeight="1">
      <c r="A18" s="151"/>
      <c r="B18" s="125" t="s">
        <v>178</v>
      </c>
      <c r="C18" s="126">
        <v>0.0076</v>
      </c>
      <c r="D18" s="127">
        <f>SUM(C10*C18)</f>
        <v>1399.6084</v>
      </c>
      <c r="E18" s="127">
        <f t="shared" si="0"/>
        <v>322.98655384615387</v>
      </c>
      <c r="F18" s="127">
        <f t="shared" si="1"/>
        <v>16795.3008</v>
      </c>
      <c r="G18" s="128" t="s">
        <v>179</v>
      </c>
    </row>
    <row r="19" spans="1:6" ht="13.5" customHeight="1">
      <c r="A19" s="151"/>
      <c r="B19" s="125" t="s">
        <v>180</v>
      </c>
      <c r="C19" s="126">
        <v>0.0021</v>
      </c>
      <c r="D19" s="127">
        <f>SUM(C10*C19)</f>
        <v>386.73389999999995</v>
      </c>
      <c r="E19" s="127">
        <f t="shared" si="0"/>
        <v>89.24628461538461</v>
      </c>
      <c r="F19" s="127">
        <f t="shared" si="1"/>
        <v>4640.806799999999</v>
      </c>
    </row>
    <row r="20" spans="1:5" s="117" customFormat="1" ht="1.5" customHeight="1">
      <c r="A20" s="129"/>
      <c r="B20" s="130"/>
      <c r="C20" s="131"/>
      <c r="E20" s="130"/>
    </row>
    <row r="21" spans="1:6" ht="13.5" customHeight="1">
      <c r="A21" s="100" t="s">
        <v>181</v>
      </c>
      <c r="B21" s="125" t="s">
        <v>173</v>
      </c>
      <c r="C21" s="126">
        <v>0.0129</v>
      </c>
      <c r="D21" s="133">
        <f>SUM(C21/C13)</f>
        <v>0.5682819383259912</v>
      </c>
      <c r="E21" s="127">
        <f>SUM(D13*D21)</f>
        <v>2375.6511</v>
      </c>
      <c r="F21" s="127">
        <f>SUM(E21*52)</f>
        <v>123533.8572</v>
      </c>
    </row>
    <row r="22" spans="1:6" ht="13.5" customHeight="1">
      <c r="A22" s="100"/>
      <c r="B22" s="125" t="s">
        <v>174</v>
      </c>
      <c r="C22" s="126">
        <v>0.0045</v>
      </c>
      <c r="D22" s="133">
        <f aca="true" t="shared" si="2" ref="D22:D27">SUM(C22/C14)</f>
        <v>0.5625</v>
      </c>
      <c r="E22" s="127">
        <f aca="true" t="shared" si="3" ref="E22:E27">SUM(D14*D22)</f>
        <v>828.7155</v>
      </c>
      <c r="F22" s="127">
        <f aca="true" t="shared" si="4" ref="F22:F27">SUM(E22*52)</f>
        <v>43093.206</v>
      </c>
    </row>
    <row r="23" spans="1:6" ht="13.5" customHeight="1">
      <c r="A23" s="100"/>
      <c r="B23" s="125" t="s">
        <v>175</v>
      </c>
      <c r="C23" s="126">
        <v>0.0001</v>
      </c>
      <c r="D23" s="133">
        <f t="shared" si="2"/>
        <v>1</v>
      </c>
      <c r="E23" s="127">
        <f t="shared" si="3"/>
        <v>18.4159</v>
      </c>
      <c r="F23" s="127">
        <f t="shared" si="4"/>
        <v>957.6268</v>
      </c>
    </row>
    <row r="24" spans="1:6" ht="13.5" customHeight="1">
      <c r="A24" s="118"/>
      <c r="B24" s="125" t="s">
        <v>176</v>
      </c>
      <c r="C24" s="126">
        <v>0.0029</v>
      </c>
      <c r="D24" s="133">
        <f t="shared" si="2"/>
        <v>0.6444444444444445</v>
      </c>
      <c r="E24" s="127">
        <f t="shared" si="3"/>
        <v>534.0611</v>
      </c>
      <c r="F24" s="127">
        <f t="shared" si="4"/>
        <v>27771.177200000002</v>
      </c>
    </row>
    <row r="25" spans="1:6" ht="13.5" customHeight="1">
      <c r="A25" s="118"/>
      <c r="B25" s="125" t="s">
        <v>177</v>
      </c>
      <c r="C25" s="126">
        <v>0.0022</v>
      </c>
      <c r="D25" s="133">
        <f t="shared" si="2"/>
        <v>0.48888888888888893</v>
      </c>
      <c r="E25" s="127">
        <f t="shared" si="3"/>
        <v>405.14979999999997</v>
      </c>
      <c r="F25" s="127">
        <f t="shared" si="4"/>
        <v>21067.7896</v>
      </c>
    </row>
    <row r="26" spans="1:7" ht="13.5" customHeight="1">
      <c r="A26" s="118"/>
      <c r="B26" s="125" t="s">
        <v>178</v>
      </c>
      <c r="C26" s="126">
        <v>0.0052</v>
      </c>
      <c r="D26" s="133">
        <f t="shared" si="2"/>
        <v>0.6842105263157895</v>
      </c>
      <c r="E26" s="127">
        <f t="shared" si="3"/>
        <v>957.6268000000001</v>
      </c>
      <c r="F26" s="127">
        <f t="shared" si="4"/>
        <v>49796.59360000001</v>
      </c>
      <c r="G26" s="134" t="s">
        <v>179</v>
      </c>
    </row>
    <row r="27" spans="1:6" ht="13.5" customHeight="1">
      <c r="A27" s="132"/>
      <c r="B27" s="125" t="s">
        <v>180</v>
      </c>
      <c r="C27" s="126">
        <v>0.0012</v>
      </c>
      <c r="D27" s="133">
        <f t="shared" si="2"/>
        <v>0.5714285714285714</v>
      </c>
      <c r="E27" s="127">
        <f t="shared" si="3"/>
        <v>220.99079999999995</v>
      </c>
      <c r="F27" s="127">
        <f t="shared" si="4"/>
        <v>11491.521599999998</v>
      </c>
    </row>
    <row r="28" spans="1:5" s="117" customFormat="1" ht="1.5" customHeight="1">
      <c r="A28" s="129"/>
      <c r="B28" s="130"/>
      <c r="C28" s="135"/>
      <c r="D28" s="136"/>
      <c r="E28" s="130"/>
    </row>
    <row r="29" spans="1:6" ht="13.5" customHeight="1">
      <c r="A29" s="132"/>
      <c r="B29" s="125"/>
      <c r="C29" s="126"/>
      <c r="D29" s="149" t="s">
        <v>182</v>
      </c>
      <c r="E29" s="152"/>
      <c r="F29" s="138">
        <f>SUM(F13:F27)</f>
        <v>387102.218</v>
      </c>
    </row>
    <row r="30" spans="1:6" s="117" customFormat="1" ht="3.75" customHeight="1">
      <c r="A30" s="129"/>
      <c r="B30" s="130"/>
      <c r="C30" s="135"/>
      <c r="D30" s="139"/>
      <c r="E30" s="140"/>
      <c r="F30" s="141"/>
    </row>
    <row r="31" spans="1:7" s="117" customFormat="1" ht="13.5" customHeight="1">
      <c r="A31" s="129"/>
      <c r="B31" s="130"/>
      <c r="C31" s="135"/>
      <c r="D31" s="137" t="s">
        <v>183</v>
      </c>
      <c r="E31" s="153">
        <v>0.65</v>
      </c>
      <c r="F31" s="142">
        <f>SUM(E31*F29)</f>
        <v>251616.4417</v>
      </c>
      <c r="G31" s="143" t="s">
        <v>184</v>
      </c>
    </row>
    <row r="32" spans="1:7" s="117" customFormat="1" ht="5.25" customHeight="1">
      <c r="A32" s="129"/>
      <c r="B32" s="130"/>
      <c r="C32" s="135"/>
      <c r="D32" s="139"/>
      <c r="E32" s="154"/>
      <c r="F32" s="141"/>
      <c r="G32" s="143"/>
    </row>
    <row r="33" spans="1:7" s="117" customFormat="1" ht="13.5" customHeight="1">
      <c r="A33" s="129"/>
      <c r="B33" s="130"/>
      <c r="C33" s="135"/>
      <c r="D33" s="137" t="s">
        <v>185</v>
      </c>
      <c r="E33" s="155"/>
      <c r="F33" s="138">
        <f>SUM(F31/52)</f>
        <v>4838.777725</v>
      </c>
      <c r="G33" s="143"/>
    </row>
    <row r="34" spans="1:7" s="117" customFormat="1" ht="5.25" customHeight="1">
      <c r="A34" s="129"/>
      <c r="B34" s="130"/>
      <c r="C34" s="135"/>
      <c r="D34" s="139"/>
      <c r="E34" s="140"/>
      <c r="F34" s="141"/>
      <c r="G34" s="143"/>
    </row>
    <row r="35" spans="1:7" s="117" customFormat="1" ht="13.5" customHeight="1">
      <c r="A35" s="129"/>
      <c r="B35" s="130"/>
      <c r="C35" s="135"/>
      <c r="D35" s="137" t="s">
        <v>186</v>
      </c>
      <c r="E35" s="144">
        <v>30</v>
      </c>
      <c r="F35" s="138">
        <f>SUM(F33/E35)</f>
        <v>161.29259083333332</v>
      </c>
      <c r="G35" s="143" t="s">
        <v>187</v>
      </c>
    </row>
    <row r="36" spans="1:6" s="117" customFormat="1" ht="4.5" customHeight="1">
      <c r="A36" s="129"/>
      <c r="B36" s="130"/>
      <c r="C36" s="135"/>
      <c r="D36" s="139"/>
      <c r="E36" s="140"/>
      <c r="F36" s="141"/>
    </row>
    <row r="37" spans="1:7" s="117" customFormat="1" ht="13.5" customHeight="1">
      <c r="A37" s="129"/>
      <c r="B37" s="130"/>
      <c r="C37" s="135"/>
      <c r="D37" s="149" t="s">
        <v>188</v>
      </c>
      <c r="E37" s="150"/>
      <c r="F37" s="138">
        <f>SUM(F35/4)</f>
        <v>40.32314770833333</v>
      </c>
      <c r="G37" s="143" t="s">
        <v>189</v>
      </c>
    </row>
    <row r="38" spans="1:6" s="117" customFormat="1" ht="4.5" customHeight="1">
      <c r="A38" s="129"/>
      <c r="B38" s="130"/>
      <c r="C38" s="135"/>
      <c r="D38" s="139"/>
      <c r="E38" s="145"/>
      <c r="F38" s="141"/>
    </row>
    <row r="39" spans="1:6" s="117" customFormat="1" ht="1.5" customHeight="1">
      <c r="A39" s="129"/>
      <c r="B39" s="130"/>
      <c r="C39" s="135"/>
      <c r="D39" s="139"/>
      <c r="E39" s="145"/>
      <c r="F39" s="141"/>
    </row>
    <row r="40" spans="1:6" s="117" customFormat="1" ht="240" customHeight="1" hidden="1">
      <c r="A40" s="129"/>
      <c r="B40" s="130"/>
      <c r="C40" s="135"/>
      <c r="D40" s="139"/>
      <c r="E40" s="145"/>
      <c r="F40" s="141"/>
    </row>
    <row r="41" spans="1:6" s="117" customFormat="1" ht="3" customHeight="1">
      <c r="A41" s="129"/>
      <c r="B41" s="130"/>
      <c r="C41" s="135"/>
      <c r="D41" s="139"/>
      <c r="E41" s="145"/>
      <c r="F41" s="141"/>
    </row>
    <row r="42" spans="1:6" s="117" customFormat="1" ht="3" customHeight="1" hidden="1">
      <c r="A42" s="129"/>
      <c r="B42" s="130"/>
      <c r="C42" s="135"/>
      <c r="D42" s="139"/>
      <c r="E42" s="145"/>
      <c r="F42" s="141"/>
    </row>
    <row r="43" spans="1:4" ht="14.25" customHeight="1">
      <c r="A43" s="158" t="s">
        <v>190</v>
      </c>
      <c r="B43" s="158"/>
      <c r="C43" s="158"/>
      <c r="D43" s="158"/>
    </row>
    <row r="44" spans="1:4" ht="3.75" customHeight="1" hidden="1">
      <c r="A44" s="158"/>
      <c r="B44" s="158"/>
      <c r="C44" s="158"/>
      <c r="D44" s="158"/>
    </row>
    <row r="45" spans="1:2" s="117" customFormat="1" ht="1.5" customHeight="1">
      <c r="A45" s="116"/>
      <c r="B45" s="116"/>
    </row>
    <row r="46" spans="1:4" ht="21.75" customHeight="1">
      <c r="A46" s="151" t="s">
        <v>191</v>
      </c>
      <c r="B46" s="151"/>
      <c r="C46" s="156">
        <v>38354</v>
      </c>
      <c r="D46" s="157"/>
    </row>
    <row r="47" spans="1:3" s="117" customFormat="1" ht="2.25" customHeight="1">
      <c r="A47" s="116"/>
      <c r="B47" s="116"/>
      <c r="C47" s="119"/>
    </row>
    <row r="48" spans="1:7" s="117" customFormat="1" ht="31.5" customHeight="1">
      <c r="A48" s="120" t="s">
        <v>166</v>
      </c>
      <c r="B48" s="120" t="s">
        <v>167</v>
      </c>
      <c r="C48" s="121" t="s">
        <v>168</v>
      </c>
      <c r="D48" s="122" t="s">
        <v>105</v>
      </c>
      <c r="E48" s="123" t="s">
        <v>169</v>
      </c>
      <c r="F48" s="123" t="s">
        <v>170</v>
      </c>
      <c r="G48" s="124" t="s">
        <v>171</v>
      </c>
    </row>
    <row r="49" spans="1:6" ht="15" customHeight="1">
      <c r="A49" s="151"/>
      <c r="B49" s="125" t="s">
        <v>173</v>
      </c>
      <c r="C49" s="126">
        <v>0.0664</v>
      </c>
      <c r="D49" s="127">
        <f>SUM(C46*C49)</f>
        <v>2546.7056000000002</v>
      </c>
      <c r="E49" s="127">
        <f>SUM(F49/52)</f>
        <v>587.7012923076924</v>
      </c>
      <c r="F49" s="127">
        <f>SUM(D49*12)</f>
        <v>30560.467200000003</v>
      </c>
    </row>
    <row r="50" spans="1:6" ht="12.75">
      <c r="A50" s="151"/>
      <c r="B50" s="125" t="s">
        <v>174</v>
      </c>
      <c r="C50" s="126">
        <v>0.0828</v>
      </c>
      <c r="D50" s="127">
        <f>SUM(C46*C50)</f>
        <v>3175.7111999999997</v>
      </c>
      <c r="E50" s="127">
        <f aca="true" t="shared" si="5" ref="E50:E55">SUM(F50/52)</f>
        <v>732.8564307692307</v>
      </c>
      <c r="F50" s="127">
        <f aca="true" t="shared" si="6" ref="F50:F55">SUM(D50*12)</f>
        <v>38108.5344</v>
      </c>
    </row>
    <row r="51" spans="1:6" ht="12.75">
      <c r="A51" s="151"/>
      <c r="B51" s="125" t="s">
        <v>175</v>
      </c>
      <c r="C51" s="126">
        <v>1E-05</v>
      </c>
      <c r="D51" s="127">
        <f>SUM(C46*C51)</f>
        <v>0.38354000000000005</v>
      </c>
      <c r="E51" s="127">
        <f t="shared" si="5"/>
        <v>0.08850923076923078</v>
      </c>
      <c r="F51" s="127">
        <f t="shared" si="6"/>
        <v>4.602480000000001</v>
      </c>
    </row>
    <row r="52" spans="1:6" ht="12.75">
      <c r="A52" s="151"/>
      <c r="B52" s="125" t="s">
        <v>176</v>
      </c>
      <c r="C52" s="126">
        <v>0.0045</v>
      </c>
      <c r="D52" s="127">
        <f>SUM(C46*C52)</f>
        <v>172.593</v>
      </c>
      <c r="E52" s="127">
        <f t="shared" si="5"/>
        <v>39.829153846153844</v>
      </c>
      <c r="F52" s="127">
        <f t="shared" si="6"/>
        <v>2071.116</v>
      </c>
    </row>
    <row r="53" spans="1:6" ht="12.75">
      <c r="A53" s="151"/>
      <c r="B53" s="125" t="s">
        <v>177</v>
      </c>
      <c r="C53" s="126">
        <v>0.0327</v>
      </c>
      <c r="D53" s="127">
        <f>SUM(C46*C53)</f>
        <v>1254.1758</v>
      </c>
      <c r="E53" s="127">
        <f t="shared" si="5"/>
        <v>289.42518461538464</v>
      </c>
      <c r="F53" s="127">
        <f t="shared" si="6"/>
        <v>15050.1096</v>
      </c>
    </row>
    <row r="54" spans="1:7" ht="15" customHeight="1">
      <c r="A54" s="151"/>
      <c r="B54" s="125" t="s">
        <v>178</v>
      </c>
      <c r="C54" s="126">
        <v>0.037</v>
      </c>
      <c r="D54" s="127">
        <f>SUM(C46*C54)</f>
        <v>1419.098</v>
      </c>
      <c r="E54" s="127">
        <f t="shared" si="5"/>
        <v>327.48415384615384</v>
      </c>
      <c r="F54" s="127">
        <f t="shared" si="6"/>
        <v>17029.176</v>
      </c>
      <c r="G54" s="128" t="s">
        <v>179</v>
      </c>
    </row>
    <row r="55" spans="1:6" ht="13.5" customHeight="1">
      <c r="A55" s="151"/>
      <c r="B55" s="125" t="s">
        <v>180</v>
      </c>
      <c r="C55" s="126">
        <v>0.0128</v>
      </c>
      <c r="D55" s="127">
        <f>SUM(C46*C55)</f>
        <v>490.93120000000005</v>
      </c>
      <c r="E55" s="127">
        <f t="shared" si="5"/>
        <v>113.2918153846154</v>
      </c>
      <c r="F55" s="127">
        <f t="shared" si="6"/>
        <v>5891.174400000001</v>
      </c>
    </row>
    <row r="56" spans="1:5" s="117" customFormat="1" ht="4.5" customHeight="1">
      <c r="A56" s="129"/>
      <c r="B56" s="130"/>
      <c r="C56" s="131"/>
      <c r="E56" s="130"/>
    </row>
    <row r="57" spans="1:6" ht="13.5" customHeight="1">
      <c r="A57" s="100"/>
      <c r="B57" s="125" t="s">
        <v>173</v>
      </c>
      <c r="C57" s="126">
        <v>0.0409</v>
      </c>
      <c r="D57" s="133">
        <f>SUM(C57/C49)</f>
        <v>0.6159638554216867</v>
      </c>
      <c r="E57" s="127">
        <f>SUM(D49*D57)</f>
        <v>1568.6786000000002</v>
      </c>
      <c r="F57" s="127">
        <f>SUM(E57*52)</f>
        <v>81571.2872</v>
      </c>
    </row>
    <row r="58" spans="1:6" ht="13.5" customHeight="1">
      <c r="A58" s="100"/>
      <c r="B58" s="125" t="s">
        <v>174</v>
      </c>
      <c r="C58" s="126">
        <v>0.0438</v>
      </c>
      <c r="D58" s="133">
        <f aca="true" t="shared" si="7" ref="D58:D63">SUM(C58/C50)</f>
        <v>0.5289855072463768</v>
      </c>
      <c r="E58" s="127">
        <f aca="true" t="shared" si="8" ref="E58:E63">SUM(D50*D58)</f>
        <v>1679.9052</v>
      </c>
      <c r="F58" s="127">
        <f aca="true" t="shared" si="9" ref="F58:F63">SUM(E58*52)</f>
        <v>87355.0704</v>
      </c>
    </row>
    <row r="59" spans="1:8" ht="13.5" customHeight="1">
      <c r="A59" s="100"/>
      <c r="B59" s="125" t="s">
        <v>175</v>
      </c>
      <c r="C59" s="126">
        <v>1E-05</v>
      </c>
      <c r="D59" s="133">
        <f t="shared" si="7"/>
        <v>1</v>
      </c>
      <c r="E59" s="127">
        <f t="shared" si="8"/>
        <v>0.38354000000000005</v>
      </c>
      <c r="F59" s="127">
        <f t="shared" si="9"/>
        <v>19.944080000000003</v>
      </c>
      <c r="H59" s="90">
        <f>SUM(17488)+(17626)</f>
        <v>35114</v>
      </c>
    </row>
    <row r="60" spans="1:8" ht="13.5" customHeight="1">
      <c r="A60" s="118"/>
      <c r="B60" s="125" t="s">
        <v>176</v>
      </c>
      <c r="C60" s="126">
        <v>0.0182</v>
      </c>
      <c r="D60" s="133">
        <f t="shared" si="7"/>
        <v>4.044444444444445</v>
      </c>
      <c r="E60" s="127">
        <f t="shared" si="8"/>
        <v>698.0428</v>
      </c>
      <c r="F60" s="127">
        <f t="shared" si="9"/>
        <v>36298.225600000005</v>
      </c>
      <c r="H60" s="90">
        <f>SUM(16200/5)*1</f>
        <v>3240</v>
      </c>
    </row>
    <row r="61" spans="1:8" ht="13.5" customHeight="1">
      <c r="A61" s="118"/>
      <c r="B61" s="125" t="s">
        <v>177</v>
      </c>
      <c r="C61" s="126">
        <v>0.0197</v>
      </c>
      <c r="D61" s="133">
        <f t="shared" si="7"/>
        <v>0.6024464831804281</v>
      </c>
      <c r="E61" s="127">
        <f t="shared" si="8"/>
        <v>755.5738</v>
      </c>
      <c r="F61" s="127">
        <f t="shared" si="9"/>
        <v>39289.8376</v>
      </c>
      <c r="H61" s="90">
        <f>SUM(H59:H60)</f>
        <v>38354</v>
      </c>
    </row>
    <row r="62" spans="1:6" ht="13.5" customHeight="1">
      <c r="A62" s="118"/>
      <c r="B62" s="125" t="s">
        <v>178</v>
      </c>
      <c r="C62" s="126">
        <v>0.0275</v>
      </c>
      <c r="D62" s="133">
        <f t="shared" si="7"/>
        <v>0.7432432432432433</v>
      </c>
      <c r="E62" s="127">
        <f t="shared" si="8"/>
        <v>1054.7350000000001</v>
      </c>
      <c r="F62" s="127">
        <f t="shared" si="9"/>
        <v>54846.22000000001</v>
      </c>
    </row>
    <row r="63" spans="1:6" ht="13.5" customHeight="1">
      <c r="A63" s="132"/>
      <c r="B63" s="125" t="s">
        <v>180</v>
      </c>
      <c r="C63" s="126">
        <v>0.0688</v>
      </c>
      <c r="D63" s="133">
        <f t="shared" si="7"/>
        <v>5.375</v>
      </c>
      <c r="E63" s="127">
        <f t="shared" si="8"/>
        <v>2638.7552</v>
      </c>
      <c r="F63" s="127">
        <f t="shared" si="9"/>
        <v>137215.2704</v>
      </c>
    </row>
    <row r="64" spans="1:5" s="117" customFormat="1" ht="4.5" customHeight="1">
      <c r="A64" s="129"/>
      <c r="B64" s="130"/>
      <c r="C64" s="135"/>
      <c r="D64" s="136"/>
      <c r="E64" s="130"/>
    </row>
    <row r="65" spans="1:6" ht="13.5" customHeight="1">
      <c r="A65" s="132"/>
      <c r="B65" s="125"/>
      <c r="C65" s="126"/>
      <c r="D65" s="149" t="s">
        <v>192</v>
      </c>
      <c r="E65" s="152"/>
      <c r="F65" s="138">
        <f>SUM(F49:F63)</f>
        <v>545311.03536</v>
      </c>
    </row>
    <row r="66" spans="1:6" s="117" customFormat="1" ht="2.25" customHeight="1">
      <c r="A66" s="129"/>
      <c r="B66" s="130"/>
      <c r="C66" s="135"/>
      <c r="D66" s="139"/>
      <c r="E66" s="140"/>
      <c r="F66" s="141"/>
    </row>
    <row r="67" spans="1:7" s="117" customFormat="1" ht="13.5" customHeight="1">
      <c r="A67" s="129"/>
      <c r="B67" s="130"/>
      <c r="C67" s="135"/>
      <c r="D67" s="137" t="s">
        <v>183</v>
      </c>
      <c r="E67" s="153">
        <v>0.65</v>
      </c>
      <c r="F67" s="142">
        <f>SUM(E67*F65)</f>
        <v>354452.172984</v>
      </c>
      <c r="G67" s="143" t="s">
        <v>184</v>
      </c>
    </row>
    <row r="68" spans="1:7" s="117" customFormat="1" ht="2.25" customHeight="1">
      <c r="A68" s="129"/>
      <c r="B68" s="130"/>
      <c r="C68" s="135"/>
      <c r="D68" s="139"/>
      <c r="E68" s="154"/>
      <c r="F68" s="141"/>
      <c r="G68" s="143"/>
    </row>
    <row r="69" spans="1:7" s="117" customFormat="1" ht="13.5" customHeight="1">
      <c r="A69" s="129"/>
      <c r="B69" s="130"/>
      <c r="C69" s="135"/>
      <c r="D69" s="137" t="s">
        <v>185</v>
      </c>
      <c r="E69" s="155"/>
      <c r="F69" s="138">
        <f>SUM(F67/52)</f>
        <v>6816.387942</v>
      </c>
      <c r="G69" s="143"/>
    </row>
    <row r="70" spans="1:7" s="117" customFormat="1" ht="3" customHeight="1">
      <c r="A70" s="129"/>
      <c r="B70" s="130"/>
      <c r="C70" s="135"/>
      <c r="D70" s="139"/>
      <c r="E70" s="140"/>
      <c r="F70" s="141"/>
      <c r="G70" s="143"/>
    </row>
    <row r="71" spans="1:7" s="117" customFormat="1" ht="13.5" customHeight="1">
      <c r="A71" s="129"/>
      <c r="B71" s="130"/>
      <c r="C71" s="135"/>
      <c r="D71" s="137" t="s">
        <v>186</v>
      </c>
      <c r="E71" s="144">
        <v>30</v>
      </c>
      <c r="F71" s="138">
        <f>SUM(F69/E71)</f>
        <v>227.2129314</v>
      </c>
      <c r="G71" s="143" t="s">
        <v>187</v>
      </c>
    </row>
    <row r="72" spans="1:6" s="117" customFormat="1" ht="1.5" customHeight="1">
      <c r="A72" s="129"/>
      <c r="B72" s="130"/>
      <c r="C72" s="135"/>
      <c r="D72" s="139"/>
      <c r="E72" s="140"/>
      <c r="F72" s="141"/>
    </row>
    <row r="73" spans="1:7" s="117" customFormat="1" ht="13.5" customHeight="1">
      <c r="A73" s="129"/>
      <c r="B73" s="130"/>
      <c r="C73" s="135"/>
      <c r="D73" s="149" t="s">
        <v>188</v>
      </c>
      <c r="E73" s="150"/>
      <c r="F73" s="138">
        <f>SUM(F71/4)</f>
        <v>56.80323285</v>
      </c>
      <c r="G73" s="143" t="s">
        <v>189</v>
      </c>
    </row>
    <row r="74" spans="1:6" s="117" customFormat="1" ht="1.5" customHeight="1">
      <c r="A74" s="129"/>
      <c r="B74" s="130"/>
      <c r="C74" s="135"/>
      <c r="D74" s="139"/>
      <c r="E74" s="145"/>
      <c r="F74" s="141"/>
    </row>
    <row r="75" spans="1:6" s="117" customFormat="1" ht="13.5" customHeight="1">
      <c r="A75" s="129"/>
      <c r="B75" s="130"/>
      <c r="C75" s="135"/>
      <c r="D75" s="149" t="s">
        <v>193</v>
      </c>
      <c r="E75" s="149"/>
      <c r="F75" s="138">
        <f>SUM(F73+F37)/4</f>
        <v>24.28159513958333</v>
      </c>
    </row>
    <row r="76" spans="1:6" s="117" customFormat="1" ht="13.5" customHeight="1">
      <c r="A76" s="129"/>
      <c r="B76" s="130"/>
      <c r="C76" s="135"/>
      <c r="D76" s="139"/>
      <c r="E76" s="145"/>
      <c r="F76" s="141"/>
    </row>
    <row r="78" spans="5:7" ht="25.5">
      <c r="E78" s="146" t="s">
        <v>194</v>
      </c>
      <c r="F78" s="147"/>
      <c r="G78" s="146">
        <v>97</v>
      </c>
    </row>
    <row r="79" spans="5:7" ht="12.75">
      <c r="E79" s="148" t="s">
        <v>195</v>
      </c>
      <c r="F79" s="148"/>
      <c r="G79" s="146">
        <v>24</v>
      </c>
    </row>
  </sheetData>
  <mergeCells count="22">
    <mergeCell ref="A3:D3"/>
    <mergeCell ref="D29:E29"/>
    <mergeCell ref="A21:A23"/>
    <mergeCell ref="A1:D1"/>
    <mergeCell ref="A13:A19"/>
    <mergeCell ref="A10:B10"/>
    <mergeCell ref="A5:D6"/>
    <mergeCell ref="C8:D8"/>
    <mergeCell ref="C10:D10"/>
    <mergeCell ref="A8:B8"/>
    <mergeCell ref="A46:B46"/>
    <mergeCell ref="C46:D46"/>
    <mergeCell ref="E31:E33"/>
    <mergeCell ref="D37:E37"/>
    <mergeCell ref="A43:D44"/>
    <mergeCell ref="E79:F79"/>
    <mergeCell ref="D73:E73"/>
    <mergeCell ref="D75:E75"/>
    <mergeCell ref="A49:A55"/>
    <mergeCell ref="A57:A59"/>
    <mergeCell ref="D65:E65"/>
    <mergeCell ref="E67:E69"/>
  </mergeCells>
  <printOptions/>
  <pageMargins left="0.75" right="0.75" top="1" bottom="1" header="0.5" footer="0.5"/>
  <pageSetup horizontalDpi="600" verticalDpi="600" orientation="landscape" paperSize="8" scale="80" r:id="rId1"/>
  <headerFooter alignWithMargins="0">
    <oddHeader>&amp;L&amp;16APPENDIX 6 - INDOOR FACILITIES ANALYSIS - SPORTS HALLS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988"/>
  <sheetViews>
    <sheetView view="pageBreakPreview" zoomScaleNormal="75" zoomScaleSheetLayoutView="100" workbookViewId="0" topLeftCell="A1">
      <selection activeCell="B18" sqref="B18"/>
    </sheetView>
  </sheetViews>
  <sheetFormatPr defaultColWidth="9.140625" defaultRowHeight="12.75"/>
  <cols>
    <col min="1" max="1" width="6.7109375" style="10" customWidth="1"/>
    <col min="2" max="2" width="55.7109375" style="0" customWidth="1"/>
    <col min="3" max="3" width="20.421875" style="0" customWidth="1"/>
    <col min="4" max="4" width="14.421875" style="0" customWidth="1"/>
    <col min="5" max="7" width="16.28125" style="0" customWidth="1"/>
    <col min="8" max="8" width="9.7109375" style="0" customWidth="1"/>
    <col min="9" max="9" width="8.421875" style="0" customWidth="1"/>
    <col min="10" max="10" width="10.28125" style="0" customWidth="1"/>
    <col min="11" max="11" width="23.57421875" style="0" customWidth="1"/>
    <col min="12" max="12" width="13.28125" style="0" customWidth="1"/>
  </cols>
  <sheetData>
    <row r="1" spans="1:12" ht="18">
      <c r="A1" s="65"/>
      <c r="B1" s="66" t="s">
        <v>18</v>
      </c>
      <c r="C1" s="15"/>
      <c r="D1" s="15"/>
      <c r="E1" s="15"/>
      <c r="F1" s="15"/>
      <c r="G1" s="67"/>
      <c r="H1" s="17"/>
      <c r="I1" s="4"/>
      <c r="J1" s="8"/>
      <c r="K1" s="8"/>
      <c r="L1" s="8"/>
    </row>
    <row r="2" spans="1:12" ht="12.75">
      <c r="A2" s="2"/>
      <c r="B2" s="3"/>
      <c r="C2" s="3"/>
      <c r="D2" s="3"/>
      <c r="E2" s="3"/>
      <c r="F2" s="3"/>
      <c r="G2" s="68"/>
      <c r="H2" s="3"/>
      <c r="I2" s="4"/>
      <c r="J2" s="4"/>
      <c r="K2" s="4"/>
      <c r="L2" s="8"/>
    </row>
    <row r="3" spans="1:12" ht="15.75">
      <c r="A3" s="2"/>
      <c r="B3" s="83" t="s">
        <v>98</v>
      </c>
      <c r="C3" s="3"/>
      <c r="D3" s="3"/>
      <c r="E3" s="3"/>
      <c r="F3" s="3"/>
      <c r="G3" s="68"/>
      <c r="H3" s="3"/>
      <c r="I3" s="4"/>
      <c r="J3" s="4"/>
      <c r="K3" s="4"/>
      <c r="L3" s="8"/>
    </row>
    <row r="4" spans="1:12" ht="12.75">
      <c r="A4" s="2"/>
      <c r="B4" s="3"/>
      <c r="C4" s="3"/>
      <c r="D4" s="3"/>
      <c r="E4" s="3"/>
      <c r="F4" s="3"/>
      <c r="G4" s="68"/>
      <c r="H4" s="3"/>
      <c r="I4" s="4"/>
      <c r="J4" s="4"/>
      <c r="K4" s="4"/>
      <c r="L4" s="8"/>
    </row>
    <row r="5" spans="1:13" ht="12.75">
      <c r="A5" s="2"/>
      <c r="B5" s="4"/>
      <c r="C5" s="4"/>
      <c r="D5" s="4"/>
      <c r="E5" s="4"/>
      <c r="F5" s="4"/>
      <c r="G5" s="69"/>
      <c r="H5" s="4"/>
      <c r="I5" s="4"/>
      <c r="M5" s="8"/>
    </row>
    <row r="6" spans="1:13" ht="12.75">
      <c r="A6" s="2"/>
      <c r="B6" s="26" t="s">
        <v>58</v>
      </c>
      <c r="C6" s="4"/>
      <c r="D6" s="4"/>
      <c r="E6" s="4"/>
      <c r="F6" s="4"/>
      <c r="G6" s="69"/>
      <c r="H6" s="4"/>
      <c r="I6" s="4"/>
      <c r="M6" s="8"/>
    </row>
    <row r="7" spans="1:13" ht="12.75">
      <c r="A7" s="2"/>
      <c r="B7" s="18"/>
      <c r="C7" s="31"/>
      <c r="D7" s="32"/>
      <c r="E7" s="163" t="s">
        <v>42</v>
      </c>
      <c r="F7" s="163"/>
      <c r="G7" s="164"/>
      <c r="H7" s="4"/>
      <c r="I7" s="4"/>
      <c r="J7" s="4"/>
      <c r="K7" s="4"/>
      <c r="L7" s="8"/>
      <c r="M7" s="8"/>
    </row>
    <row r="8" spans="1:13" ht="12.75">
      <c r="A8" s="2"/>
      <c r="B8" s="18"/>
      <c r="C8" s="33" t="s">
        <v>33</v>
      </c>
      <c r="D8" s="34" t="s">
        <v>34</v>
      </c>
      <c r="E8" s="33" t="s">
        <v>37</v>
      </c>
      <c r="F8" s="33" t="s">
        <v>35</v>
      </c>
      <c r="G8" s="70" t="s">
        <v>36</v>
      </c>
      <c r="H8" s="4"/>
      <c r="I8" s="4"/>
      <c r="J8" s="4"/>
      <c r="K8" s="4"/>
      <c r="L8" s="8"/>
      <c r="M8" s="8"/>
    </row>
    <row r="9" spans="1:13" ht="12.75">
      <c r="A9" s="2">
        <v>1</v>
      </c>
      <c r="B9" s="21" t="s">
        <v>40</v>
      </c>
      <c r="C9" s="29" t="s">
        <v>20</v>
      </c>
      <c r="D9" s="71">
        <v>17297</v>
      </c>
      <c r="E9" s="30">
        <f aca="true" t="shared" si="0" ref="E9:E21">$E$27*D9</f>
        <v>2092.937</v>
      </c>
      <c r="F9" s="30">
        <f>$F$27*D9</f>
        <v>1228.087</v>
      </c>
      <c r="G9" s="72">
        <f>$G$27*D9</f>
        <v>864.85</v>
      </c>
      <c r="H9" s="4"/>
      <c r="I9" s="4"/>
      <c r="J9" s="4"/>
      <c r="K9" s="4"/>
      <c r="L9" s="8"/>
      <c r="M9" s="8"/>
    </row>
    <row r="10" spans="1:13" ht="12.75">
      <c r="A10" s="73"/>
      <c r="B10" s="22" t="s">
        <v>99</v>
      </c>
      <c r="C10" s="29" t="s">
        <v>21</v>
      </c>
      <c r="D10" s="71">
        <v>13831</v>
      </c>
      <c r="E10" s="30">
        <f t="shared" si="0"/>
        <v>1673.551</v>
      </c>
      <c r="F10" s="30">
        <f>$F$27*D10</f>
        <v>982.0009999999999</v>
      </c>
      <c r="G10" s="72">
        <f aca="true" t="shared" si="1" ref="G10:G21">$G$27*D10</f>
        <v>691.5500000000001</v>
      </c>
      <c r="H10" s="14" t="s">
        <v>0</v>
      </c>
      <c r="I10" s="4"/>
      <c r="J10" s="4"/>
      <c r="K10" s="4"/>
      <c r="L10" s="8"/>
      <c r="M10" s="8"/>
    </row>
    <row r="11" spans="1:13" ht="12.75">
      <c r="A11" s="73"/>
      <c r="B11" s="19"/>
      <c r="C11" s="29" t="s">
        <v>22</v>
      </c>
      <c r="D11" s="71">
        <v>12205</v>
      </c>
      <c r="E11" s="30">
        <f t="shared" si="0"/>
        <v>1476.805</v>
      </c>
      <c r="F11" s="30">
        <f aca="true" t="shared" si="2" ref="F11:F21">$F$27*D11</f>
        <v>866.555</v>
      </c>
      <c r="G11" s="72">
        <f t="shared" si="1"/>
        <v>610.25</v>
      </c>
      <c r="H11" s="14"/>
      <c r="I11" s="4"/>
      <c r="J11" s="4"/>
      <c r="K11" s="4"/>
      <c r="L11" s="8"/>
      <c r="M11" s="8"/>
    </row>
    <row r="12" spans="1:13" ht="12.75">
      <c r="A12" s="73">
        <v>2</v>
      </c>
      <c r="B12" s="23" t="s">
        <v>57</v>
      </c>
      <c r="C12" s="29" t="s">
        <v>23</v>
      </c>
      <c r="D12" s="71">
        <v>14391</v>
      </c>
      <c r="E12" s="30">
        <f t="shared" si="0"/>
        <v>1741.311</v>
      </c>
      <c r="F12" s="30">
        <f t="shared" si="2"/>
        <v>1021.7609999999999</v>
      </c>
      <c r="G12" s="72">
        <f t="shared" si="1"/>
        <v>719.5500000000001</v>
      </c>
      <c r="H12" s="14"/>
      <c r="I12" s="4"/>
      <c r="J12" s="4"/>
      <c r="K12" s="4"/>
      <c r="L12" s="8"/>
      <c r="M12" s="8"/>
    </row>
    <row r="13" spans="1:13" ht="12.75">
      <c r="A13" s="73"/>
      <c r="B13" s="22" t="s">
        <v>45</v>
      </c>
      <c r="C13" s="29" t="s">
        <v>24</v>
      </c>
      <c r="D13" s="71">
        <v>18481</v>
      </c>
      <c r="E13" s="30">
        <f t="shared" si="0"/>
        <v>2236.201</v>
      </c>
      <c r="F13" s="30">
        <f t="shared" si="2"/>
        <v>1312.1509999999998</v>
      </c>
      <c r="G13" s="72">
        <f t="shared" si="1"/>
        <v>924.0500000000001</v>
      </c>
      <c r="H13" s="14"/>
      <c r="I13" s="4"/>
      <c r="J13" s="4"/>
      <c r="K13" s="4"/>
      <c r="L13" s="8"/>
      <c r="M13" s="8"/>
    </row>
    <row r="14" spans="1:13" ht="12.75">
      <c r="A14" s="73"/>
      <c r="B14" s="19"/>
      <c r="C14" s="29" t="s">
        <v>25</v>
      </c>
      <c r="D14" s="71">
        <v>18610</v>
      </c>
      <c r="E14" s="30">
        <f t="shared" si="0"/>
        <v>2251.81</v>
      </c>
      <c r="F14" s="30">
        <f t="shared" si="2"/>
        <v>1321.31</v>
      </c>
      <c r="G14" s="72">
        <f t="shared" si="1"/>
        <v>930.5</v>
      </c>
      <c r="H14" s="14"/>
      <c r="I14" s="4"/>
      <c r="J14" s="4"/>
      <c r="K14" s="4"/>
      <c r="L14" s="8"/>
      <c r="M14" s="8"/>
    </row>
    <row r="15" spans="1:13" ht="12.75">
      <c r="A15" s="73"/>
      <c r="B15" s="19"/>
      <c r="C15" s="29" t="s">
        <v>26</v>
      </c>
      <c r="D15" s="71">
        <v>17029</v>
      </c>
      <c r="E15" s="30">
        <f t="shared" si="0"/>
        <v>2060.509</v>
      </c>
      <c r="F15" s="30">
        <f t="shared" si="2"/>
        <v>1209.059</v>
      </c>
      <c r="G15" s="72">
        <f t="shared" si="1"/>
        <v>851.45</v>
      </c>
      <c r="H15" s="14"/>
      <c r="I15" s="4"/>
      <c r="J15" s="4"/>
      <c r="K15" s="4"/>
      <c r="L15" s="8"/>
      <c r="M15" s="8"/>
    </row>
    <row r="16" spans="1:13" ht="12.75">
      <c r="A16" s="73"/>
      <c r="B16" s="19"/>
      <c r="C16" s="29" t="s">
        <v>27</v>
      </c>
      <c r="D16" s="71">
        <v>14898</v>
      </c>
      <c r="E16" s="30">
        <f t="shared" si="0"/>
        <v>1802.658</v>
      </c>
      <c r="F16" s="30">
        <f t="shared" si="2"/>
        <v>1057.7579999999998</v>
      </c>
      <c r="G16" s="72">
        <f t="shared" si="1"/>
        <v>744.9000000000001</v>
      </c>
      <c r="H16" s="14"/>
      <c r="I16" s="4"/>
      <c r="J16" s="4"/>
      <c r="K16" s="4"/>
      <c r="L16" s="8"/>
      <c r="M16" s="8"/>
    </row>
    <row r="17" spans="1:13" ht="12.75">
      <c r="A17" s="73"/>
      <c r="B17" s="19"/>
      <c r="C17" s="29" t="s">
        <v>28</v>
      </c>
      <c r="D17" s="71">
        <v>15010</v>
      </c>
      <c r="E17" s="30">
        <f t="shared" si="0"/>
        <v>1816.21</v>
      </c>
      <c r="F17" s="30">
        <f t="shared" si="2"/>
        <v>1065.7099999999998</v>
      </c>
      <c r="G17" s="72">
        <f t="shared" si="1"/>
        <v>750.5</v>
      </c>
      <c r="H17" s="14"/>
      <c r="I17" s="4"/>
      <c r="J17" s="4"/>
      <c r="K17" s="4"/>
      <c r="L17" s="8"/>
      <c r="M17" s="8"/>
    </row>
    <row r="18" spans="1:13" ht="12.75">
      <c r="A18" s="73"/>
      <c r="B18" s="19"/>
      <c r="C18" s="29" t="s">
        <v>29</v>
      </c>
      <c r="D18" s="71">
        <v>14492</v>
      </c>
      <c r="E18" s="30">
        <f t="shared" si="0"/>
        <v>1753.532</v>
      </c>
      <c r="F18" s="30">
        <f t="shared" si="2"/>
        <v>1028.932</v>
      </c>
      <c r="G18" s="72">
        <f t="shared" si="1"/>
        <v>724.6</v>
      </c>
      <c r="H18" s="14"/>
      <c r="I18" s="4"/>
      <c r="J18" s="4"/>
      <c r="K18" s="4"/>
      <c r="L18" s="8"/>
      <c r="M18" s="8"/>
    </row>
    <row r="19" spans="1:13" ht="12.75">
      <c r="A19" s="73"/>
      <c r="B19" s="19"/>
      <c r="C19" s="29" t="s">
        <v>30</v>
      </c>
      <c r="D19" s="71">
        <v>12548</v>
      </c>
      <c r="E19" s="30">
        <f t="shared" si="0"/>
        <v>1518.308</v>
      </c>
      <c r="F19" s="30">
        <f t="shared" si="2"/>
        <v>890.9079999999999</v>
      </c>
      <c r="G19" s="72">
        <f t="shared" si="1"/>
        <v>627.4000000000001</v>
      </c>
      <c r="H19" s="14"/>
      <c r="I19" s="4"/>
      <c r="J19" s="4"/>
      <c r="K19" s="4"/>
      <c r="L19" s="8"/>
      <c r="M19" s="8"/>
    </row>
    <row r="20" spans="1:13" ht="12.75">
      <c r="A20" s="73"/>
      <c r="B20" s="19"/>
      <c r="C20" s="29" t="s">
        <v>31</v>
      </c>
      <c r="D20" s="71">
        <v>10764</v>
      </c>
      <c r="E20" s="30">
        <f t="shared" si="0"/>
        <v>1302.444</v>
      </c>
      <c r="F20" s="30">
        <f t="shared" si="2"/>
        <v>764.2439999999999</v>
      </c>
      <c r="G20" s="72">
        <f t="shared" si="1"/>
        <v>538.2</v>
      </c>
      <c r="H20" s="14"/>
      <c r="I20" s="4"/>
      <c r="J20" s="4"/>
      <c r="K20" s="4"/>
      <c r="L20" s="8"/>
      <c r="M20" s="8"/>
    </row>
    <row r="21" spans="1:13" ht="12.75">
      <c r="A21" s="73"/>
      <c r="B21" s="19"/>
      <c r="C21" s="29" t="s">
        <v>32</v>
      </c>
      <c r="D21" s="71">
        <v>9079</v>
      </c>
      <c r="E21" s="30">
        <f t="shared" si="0"/>
        <v>1098.559</v>
      </c>
      <c r="F21" s="30">
        <f t="shared" si="2"/>
        <v>644.6089999999999</v>
      </c>
      <c r="G21" s="72">
        <f t="shared" si="1"/>
        <v>453.95000000000005</v>
      </c>
      <c r="H21" s="14"/>
      <c r="I21" s="4"/>
      <c r="J21" s="4"/>
      <c r="K21" s="4"/>
      <c r="L21" s="8"/>
      <c r="M21" s="8"/>
    </row>
    <row r="22" spans="1:13" ht="12.75">
      <c r="A22" s="73"/>
      <c r="B22" s="19"/>
      <c r="C22" s="88" t="s">
        <v>41</v>
      </c>
      <c r="D22" s="42">
        <f>SUM(D9:D21)</f>
        <v>188635</v>
      </c>
      <c r="E22" s="38">
        <f>SUM(E9:E21)</f>
        <v>22824.835</v>
      </c>
      <c r="F22" s="38">
        <f>SUM(F9:F21)</f>
        <v>13393.085000000001</v>
      </c>
      <c r="G22" s="74">
        <f>SUM(G9:G21)</f>
        <v>9431.750000000002</v>
      </c>
      <c r="H22" s="14"/>
      <c r="I22" s="4"/>
      <c r="J22" s="4"/>
      <c r="K22" s="4"/>
      <c r="L22" s="8"/>
      <c r="M22" s="8"/>
    </row>
    <row r="23" spans="1:13" ht="12.75">
      <c r="A23" s="73"/>
      <c r="B23" s="19"/>
      <c r="C23" s="4"/>
      <c r="D23" s="4"/>
      <c r="E23" s="13"/>
      <c r="F23" s="4"/>
      <c r="G23" s="69"/>
      <c r="H23" s="14"/>
      <c r="I23" s="4"/>
      <c r="J23" s="4"/>
      <c r="K23" s="4"/>
      <c r="L23" s="8"/>
      <c r="M23" s="8"/>
    </row>
    <row r="24" spans="1:13" ht="12.75">
      <c r="A24" s="73"/>
      <c r="B24" s="19"/>
      <c r="C24" s="4"/>
      <c r="D24" s="4"/>
      <c r="E24" s="13"/>
      <c r="F24" s="4"/>
      <c r="G24" s="69"/>
      <c r="H24" s="14"/>
      <c r="I24" s="4"/>
      <c r="J24" s="4"/>
      <c r="K24" s="4"/>
      <c r="L24" s="8"/>
      <c r="M24" s="8"/>
    </row>
    <row r="25" spans="1:13" ht="12.75">
      <c r="A25" s="73"/>
      <c r="B25" s="19"/>
      <c r="C25" s="4"/>
      <c r="D25" s="4"/>
      <c r="E25" s="13"/>
      <c r="F25" s="4"/>
      <c r="G25" s="69"/>
      <c r="H25" s="14"/>
      <c r="I25" s="4"/>
      <c r="J25" s="4"/>
      <c r="K25" s="4"/>
      <c r="L25" s="8"/>
      <c r="M25" s="8"/>
    </row>
    <row r="26" spans="1:13" ht="12.75">
      <c r="A26" s="73"/>
      <c r="B26" s="19"/>
      <c r="C26" s="4"/>
      <c r="D26" s="8"/>
      <c r="E26" s="33" t="s">
        <v>37</v>
      </c>
      <c r="F26" s="33" t="s">
        <v>35</v>
      </c>
      <c r="G26" s="70" t="s">
        <v>36</v>
      </c>
      <c r="H26" s="8"/>
      <c r="I26" s="8"/>
      <c r="M26" s="8"/>
    </row>
    <row r="27" spans="1:13" ht="12.75">
      <c r="A27" s="73">
        <v>2</v>
      </c>
      <c r="B27" s="19" t="s">
        <v>1</v>
      </c>
      <c r="C27" s="4"/>
      <c r="D27" s="8"/>
      <c r="E27" s="35">
        <v>0.121</v>
      </c>
      <c r="F27" s="35">
        <v>0.071</v>
      </c>
      <c r="G27" s="75">
        <v>0.05</v>
      </c>
      <c r="H27" s="8"/>
      <c r="I27" s="8"/>
      <c r="M27" s="8"/>
    </row>
    <row r="28" spans="1:13" ht="12.75">
      <c r="A28" s="73">
        <v>3</v>
      </c>
      <c r="B28" s="19" t="s">
        <v>46</v>
      </c>
      <c r="C28" s="4"/>
      <c r="D28" s="8"/>
      <c r="E28" s="28">
        <f>E22</f>
        <v>22824.835</v>
      </c>
      <c r="F28" s="28">
        <f>F22</f>
        <v>13393.085000000001</v>
      </c>
      <c r="G28" s="76">
        <f>G22</f>
        <v>9431.750000000002</v>
      </c>
      <c r="M28" s="8"/>
    </row>
    <row r="29" spans="1:13" ht="12.75">
      <c r="A29" s="73">
        <v>4</v>
      </c>
      <c r="B29" s="19" t="s">
        <v>2</v>
      </c>
      <c r="C29" s="4"/>
      <c r="D29" s="8"/>
      <c r="E29" s="28">
        <f>E28*1.5</f>
        <v>34237.2525</v>
      </c>
      <c r="F29" s="28">
        <f>F28*1.5</f>
        <v>20089.627500000002</v>
      </c>
      <c r="G29" s="76">
        <f>G28*1.5</f>
        <v>14147.625000000004</v>
      </c>
      <c r="M29" s="8"/>
    </row>
    <row r="30" spans="1:13" ht="12.75">
      <c r="A30" s="73">
        <v>5</v>
      </c>
      <c r="B30" s="19" t="s">
        <v>3</v>
      </c>
      <c r="C30" s="4"/>
      <c r="D30" s="8"/>
      <c r="E30" s="28">
        <f>E29/100*65</f>
        <v>22254.214125</v>
      </c>
      <c r="F30" s="28">
        <f>F29/100*65</f>
        <v>13058.257875000001</v>
      </c>
      <c r="G30" s="76">
        <f>G29/100*65</f>
        <v>9195.956250000003</v>
      </c>
      <c r="M30" s="8"/>
    </row>
    <row r="31" spans="1:13" ht="12.75">
      <c r="A31" s="73">
        <v>6</v>
      </c>
      <c r="B31" s="19" t="s">
        <v>4</v>
      </c>
      <c r="C31" s="4"/>
      <c r="D31" s="8"/>
      <c r="E31" s="36">
        <f>E30/34</f>
        <v>654.5357095588234</v>
      </c>
      <c r="F31" s="36">
        <f>F30/34</f>
        <v>384.06640808823533</v>
      </c>
      <c r="G31" s="77">
        <f>G30/34</f>
        <v>270.46930147058833</v>
      </c>
      <c r="M31" s="8"/>
    </row>
    <row r="32" spans="1:13" ht="12.75">
      <c r="A32" s="73"/>
      <c r="B32" s="19"/>
      <c r="C32" s="4"/>
      <c r="D32" s="4"/>
      <c r="E32" s="4"/>
      <c r="F32" s="4"/>
      <c r="G32" s="69"/>
      <c r="H32" s="16"/>
      <c r="I32" s="16"/>
      <c r="M32" s="8"/>
    </row>
    <row r="33" spans="1:13" s="5" customFormat="1" ht="12">
      <c r="A33" s="73">
        <v>7</v>
      </c>
      <c r="B33" s="44" t="s">
        <v>39</v>
      </c>
      <c r="C33" s="6"/>
      <c r="D33" s="6"/>
      <c r="E33" s="6"/>
      <c r="F33" s="6"/>
      <c r="G33" s="7"/>
      <c r="H33" s="6"/>
      <c r="I33" s="6"/>
      <c r="J33" s="6"/>
      <c r="K33" s="6"/>
      <c r="L33" s="6"/>
      <c r="M33" s="6"/>
    </row>
    <row r="34" spans="1:13" s="5" customFormat="1" ht="15.75">
      <c r="A34" s="73"/>
      <c r="B34" s="44" t="s">
        <v>38</v>
      </c>
      <c r="C34" s="6"/>
      <c r="D34" s="6"/>
      <c r="E34" s="39">
        <f>E31</f>
        <v>654.5357095588234</v>
      </c>
      <c r="F34" s="39">
        <f>F31</f>
        <v>384.06640808823533</v>
      </c>
      <c r="G34" s="87">
        <f>G31</f>
        <v>270.46930147058833</v>
      </c>
      <c r="H34" s="6"/>
      <c r="I34" s="6"/>
      <c r="J34" s="6"/>
      <c r="K34" s="6"/>
      <c r="L34" s="6"/>
      <c r="M34" s="6"/>
    </row>
    <row r="35" spans="1:13" s="5" customFormat="1" ht="12.75">
      <c r="A35" s="73"/>
      <c r="B35" s="20"/>
      <c r="C35" s="6"/>
      <c r="D35" s="6"/>
      <c r="E35" s="13"/>
      <c r="F35" s="13"/>
      <c r="G35" s="78"/>
      <c r="H35" s="6"/>
      <c r="I35" s="6"/>
      <c r="J35" s="6"/>
      <c r="K35" s="6"/>
      <c r="L35" s="6"/>
      <c r="M35" s="6"/>
    </row>
    <row r="36" spans="1:13" s="5" customFormat="1" ht="12.75">
      <c r="A36" s="73"/>
      <c r="B36" s="20"/>
      <c r="C36" s="6"/>
      <c r="D36" s="6"/>
      <c r="E36" s="13"/>
      <c r="F36" s="13"/>
      <c r="G36" s="78"/>
      <c r="H36" s="6"/>
      <c r="I36" s="6"/>
      <c r="J36" s="6"/>
      <c r="K36" s="6"/>
      <c r="L36" s="6"/>
      <c r="M36" s="6"/>
    </row>
    <row r="37" spans="1:13" ht="12.75">
      <c r="A37" s="2"/>
      <c r="B37" s="8"/>
      <c r="C37" s="27"/>
      <c r="D37" s="27"/>
      <c r="E37" s="33" t="s">
        <v>47</v>
      </c>
      <c r="F37" s="33" t="s">
        <v>35</v>
      </c>
      <c r="G37" s="70" t="s">
        <v>36</v>
      </c>
      <c r="H37" s="4"/>
      <c r="I37" s="4"/>
      <c r="J37" s="4"/>
      <c r="K37" s="4"/>
      <c r="L37" s="8"/>
      <c r="M37" s="8"/>
    </row>
    <row r="38" spans="1:13" ht="15.75">
      <c r="A38" s="2"/>
      <c r="B38" s="8"/>
      <c r="C38" s="165" t="s">
        <v>5</v>
      </c>
      <c r="D38" s="165"/>
      <c r="E38" s="84">
        <f>'H&amp;F Supply'!B38</f>
        <v>851</v>
      </c>
      <c r="F38" s="84">
        <f>'H&amp;F Supply'!B39</f>
        <v>325</v>
      </c>
      <c r="G38" s="85">
        <f>'H&amp;F Supply'!B40</f>
        <v>526</v>
      </c>
      <c r="H38" s="4"/>
      <c r="I38" s="4"/>
      <c r="J38" s="4"/>
      <c r="K38" s="4"/>
      <c r="L38" s="8"/>
      <c r="M38" s="8"/>
    </row>
    <row r="39" spans="1:13" ht="15.75">
      <c r="A39" s="2"/>
      <c r="B39" s="8"/>
      <c r="C39" s="165" t="s">
        <v>6</v>
      </c>
      <c r="D39" s="165"/>
      <c r="E39" s="43">
        <f>E38-E34</f>
        <v>196.46429044117656</v>
      </c>
      <c r="F39" s="43">
        <f>F38-F34</f>
        <v>-59.066408088235335</v>
      </c>
      <c r="G39" s="86">
        <f>G38-G34</f>
        <v>255.53069852941167</v>
      </c>
      <c r="H39" s="4"/>
      <c r="I39" s="4"/>
      <c r="J39" s="4"/>
      <c r="K39" s="4"/>
      <c r="L39" s="8"/>
      <c r="M39" s="8"/>
    </row>
    <row r="40" spans="1:13" ht="12.75">
      <c r="A40" s="2"/>
      <c r="B40" s="8"/>
      <c r="C40" s="4"/>
      <c r="D40" s="4"/>
      <c r="E40" s="4"/>
      <c r="F40" s="4"/>
      <c r="G40" s="69"/>
      <c r="H40" s="4"/>
      <c r="I40" s="4"/>
      <c r="J40" s="4"/>
      <c r="K40" s="4"/>
      <c r="L40" s="8"/>
      <c r="M40" s="8"/>
    </row>
    <row r="41" spans="1:13" ht="12.75">
      <c r="A41" s="2">
        <v>8</v>
      </c>
      <c r="B41" s="3" t="s">
        <v>48</v>
      </c>
      <c r="C41" s="4"/>
      <c r="D41" s="4"/>
      <c r="E41" s="4"/>
      <c r="F41" s="4"/>
      <c r="G41" s="69"/>
      <c r="H41" s="4"/>
      <c r="I41" s="4"/>
      <c r="J41" s="4"/>
      <c r="K41" s="4"/>
      <c r="L41" s="8"/>
      <c r="M41" s="8"/>
    </row>
    <row r="42" spans="1:13" ht="12.75">
      <c r="A42" s="2"/>
      <c r="B42" s="8" t="s">
        <v>51</v>
      </c>
      <c r="C42" s="4"/>
      <c r="D42" s="4"/>
      <c r="E42" s="4"/>
      <c r="F42" s="4"/>
      <c r="G42" s="69"/>
      <c r="H42" s="4"/>
      <c r="I42" s="4"/>
      <c r="J42" s="4"/>
      <c r="K42" s="4"/>
      <c r="L42" s="8"/>
      <c r="M42" s="8"/>
    </row>
    <row r="43" spans="1:13" ht="12.75">
      <c r="A43" s="2"/>
      <c r="B43" s="8" t="s">
        <v>52</v>
      </c>
      <c r="C43" s="4"/>
      <c r="D43" s="4"/>
      <c r="E43" s="4"/>
      <c r="F43" s="4"/>
      <c r="G43" s="69"/>
      <c r="H43" s="4"/>
      <c r="I43" s="4"/>
      <c r="J43" s="4"/>
      <c r="K43" s="4"/>
      <c r="L43" s="8"/>
      <c r="M43" s="8"/>
    </row>
    <row r="44" spans="1:13" ht="12.75">
      <c r="A44" s="2"/>
      <c r="B44" s="25" t="s">
        <v>50</v>
      </c>
      <c r="C44" s="4"/>
      <c r="D44" s="4"/>
      <c r="E44" s="4"/>
      <c r="F44" s="4"/>
      <c r="G44" s="69"/>
      <c r="H44" s="4"/>
      <c r="I44" s="4"/>
      <c r="J44" s="4"/>
      <c r="K44" s="4"/>
      <c r="L44" s="8"/>
      <c r="M44" s="8"/>
    </row>
    <row r="45" spans="1:13" ht="12.75">
      <c r="A45" s="2"/>
      <c r="B45" s="25" t="s">
        <v>49</v>
      </c>
      <c r="C45" s="4"/>
      <c r="D45" s="4"/>
      <c r="E45" s="4"/>
      <c r="F45" s="4"/>
      <c r="G45" s="69"/>
      <c r="H45" s="4"/>
      <c r="I45" s="4"/>
      <c r="J45" s="4"/>
      <c r="K45" s="4"/>
      <c r="L45" s="8"/>
      <c r="M45" s="8"/>
    </row>
    <row r="46" spans="1:13" ht="12.75">
      <c r="A46" s="2"/>
      <c r="B46" s="6"/>
      <c r="C46" s="4"/>
      <c r="D46" s="4"/>
      <c r="E46" s="4"/>
      <c r="F46" s="4"/>
      <c r="G46" s="69"/>
      <c r="H46" s="4"/>
      <c r="I46" s="4"/>
      <c r="J46" s="8"/>
      <c r="K46" s="8"/>
      <c r="L46" s="8"/>
      <c r="M46" s="8"/>
    </row>
    <row r="47" spans="1:13" ht="12.75">
      <c r="A47" s="2">
        <v>9</v>
      </c>
      <c r="B47" s="3" t="s">
        <v>19</v>
      </c>
      <c r="C47" s="4"/>
      <c r="D47" s="4"/>
      <c r="E47" s="4"/>
      <c r="F47" s="4"/>
      <c r="G47" s="69"/>
      <c r="H47" s="4"/>
      <c r="I47" s="4"/>
      <c r="J47" s="8"/>
      <c r="K47" s="8"/>
      <c r="L47" s="8"/>
      <c r="M47" s="8"/>
    </row>
    <row r="48" spans="1:13" ht="12.75">
      <c r="A48" s="79"/>
      <c r="B48" s="19" t="s">
        <v>43</v>
      </c>
      <c r="C48" s="4"/>
      <c r="D48" s="4"/>
      <c r="E48" s="4"/>
      <c r="F48" s="4"/>
      <c r="G48" s="69"/>
      <c r="H48" s="4"/>
      <c r="I48" s="4"/>
      <c r="J48" s="8"/>
      <c r="K48" s="8"/>
      <c r="L48" s="8"/>
      <c r="M48" s="8"/>
    </row>
    <row r="49" spans="1:13" ht="12.75">
      <c r="A49" s="79"/>
      <c r="B49" s="24" t="s">
        <v>44</v>
      </c>
      <c r="C49" s="4"/>
      <c r="D49" s="4"/>
      <c r="E49" s="4"/>
      <c r="F49" s="4"/>
      <c r="G49" s="69"/>
      <c r="H49" s="4"/>
      <c r="I49" s="4"/>
      <c r="J49" s="8"/>
      <c r="K49" s="8"/>
      <c r="L49" s="8"/>
      <c r="M49" s="8"/>
    </row>
    <row r="50" spans="1:13" ht="12.75">
      <c r="A50" s="79"/>
      <c r="B50" s="19" t="s">
        <v>7</v>
      </c>
      <c r="C50" s="4"/>
      <c r="D50" s="4"/>
      <c r="E50" s="4"/>
      <c r="F50" s="4"/>
      <c r="G50" s="69"/>
      <c r="H50" s="4"/>
      <c r="I50" s="4"/>
      <c r="J50" s="8"/>
      <c r="K50" s="8"/>
      <c r="L50" s="8"/>
      <c r="M50" s="8"/>
    </row>
    <row r="51" spans="1:13" ht="12.75">
      <c r="A51" s="79"/>
      <c r="B51" s="19" t="s">
        <v>8</v>
      </c>
      <c r="C51" s="4"/>
      <c r="D51" s="4"/>
      <c r="E51" s="4"/>
      <c r="F51" s="4"/>
      <c r="G51" s="69"/>
      <c r="H51" s="4"/>
      <c r="I51" s="4"/>
      <c r="J51" s="8"/>
      <c r="K51" s="8"/>
      <c r="L51" s="8"/>
      <c r="M51" s="8"/>
    </row>
    <row r="52" spans="1:13" ht="12.75">
      <c r="A52" s="79"/>
      <c r="B52" s="19" t="s">
        <v>9</v>
      </c>
      <c r="C52" s="4"/>
      <c r="D52" s="4"/>
      <c r="E52" s="4"/>
      <c r="F52" s="4"/>
      <c r="G52" s="69"/>
      <c r="H52" s="4"/>
      <c r="I52" s="4"/>
      <c r="J52" s="8"/>
      <c r="K52" s="8"/>
      <c r="L52" s="8"/>
      <c r="M52" s="8"/>
    </row>
    <row r="53" spans="1:13" ht="12.75">
      <c r="A53" s="79"/>
      <c r="B53" s="19" t="s">
        <v>10</v>
      </c>
      <c r="C53" s="4"/>
      <c r="D53" s="4"/>
      <c r="E53" s="4"/>
      <c r="F53" s="4"/>
      <c r="G53" s="69"/>
      <c r="H53" s="4"/>
      <c r="I53" s="4"/>
      <c r="J53" s="8"/>
      <c r="K53" s="8"/>
      <c r="L53" s="8"/>
      <c r="M53" s="8"/>
    </row>
    <row r="54" spans="1:13" ht="13.5" thickBot="1">
      <c r="A54" s="80"/>
      <c r="B54" s="81" t="s">
        <v>11</v>
      </c>
      <c r="C54" s="9"/>
      <c r="D54" s="9"/>
      <c r="E54" s="9"/>
      <c r="F54" s="9"/>
      <c r="G54" s="82"/>
      <c r="H54" s="4"/>
      <c r="I54" s="4"/>
      <c r="J54" s="8"/>
      <c r="K54" s="8"/>
      <c r="L54" s="8"/>
      <c r="M54" s="8"/>
    </row>
    <row r="55" spans="1:13" ht="12.75">
      <c r="A55" s="3"/>
      <c r="B55" s="6"/>
      <c r="C55" s="4"/>
      <c r="D55" s="4"/>
      <c r="E55" s="4"/>
      <c r="F55" s="4"/>
      <c r="G55" s="4"/>
      <c r="H55" s="4"/>
      <c r="I55" s="4"/>
      <c r="J55" s="8"/>
      <c r="K55" s="8"/>
      <c r="L55" s="8"/>
      <c r="M55" s="8"/>
    </row>
    <row r="56" spans="2:6" ht="12.75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11" ht="12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2.7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2.7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2.7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2.7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2.7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2.7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2.7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2.7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2.7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2.7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2.7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2.7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2.7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2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2.7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2.7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2.7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2.7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2.7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2.7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2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2.7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2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2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2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2.7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2.7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2.7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2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2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2.7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2.7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2.7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2.7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2.7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2.7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2.7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2.7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2.7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2.7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2.7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2.7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2.7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2.7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2.7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2.7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2.7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2.7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2.7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2.7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2.7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2.7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2.7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ht="12.7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ht="12.7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ht="12.7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ht="12.7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2.7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ht="12.7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ht="12.7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2.7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ht="12.7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ht="12.7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ht="12.7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ht="12.7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ht="12.7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ht="12.7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ht="12.7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ht="12.7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2.7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ht="12.7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2.7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ht="12.7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ht="12.7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2.7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2.7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ht="12.7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ht="12.7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ht="12.7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ht="12.7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ht="12.7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ht="12.7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ht="12.75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ht="12.7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ht="12.7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ht="12.7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ht="12.7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ht="12.75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ht="12.7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ht="12.75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ht="12.7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ht="12.75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ht="12.7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ht="12.75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ht="12.75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ht="12.7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ht="12.75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ht="12.7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ht="12.7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ht="12.7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ht="12.7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ht="12.7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ht="12.7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ht="12.7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ht="12.7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ht="12.7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ht="12.7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ht="12.75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ht="12.75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ht="12.75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ht="12.75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ht="12.75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ht="12.7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ht="12.75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ht="12.75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ht="12.7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ht="12.75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ht="12.75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ht="12.75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ht="12.75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ht="12.75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ht="12.75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ht="12.75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ht="12.75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ht="12.75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ht="12.75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ht="12.75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ht="12.75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ht="12.75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ht="12.75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ht="12.75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ht="12.75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ht="12.75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ht="12.75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ht="12.75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ht="12.75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ht="12.75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ht="12.75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ht="12.7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ht="12.7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ht="12.7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ht="12.7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ht="12.75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ht="12.75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ht="12.75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ht="12.75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ht="12.75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ht="12.75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ht="12.75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ht="12.75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ht="12.75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ht="12.75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ht="12.75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ht="12.75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ht="12.75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ht="12.75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ht="12.75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ht="12.75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ht="12.75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ht="12.75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ht="12.75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ht="12.75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ht="12.75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ht="12.75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ht="12.75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ht="12.75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ht="12.75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ht="12.75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ht="12.75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ht="12.75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ht="12.7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ht="12.75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ht="12.75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ht="12.75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ht="12.75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ht="12.75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ht="12.75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ht="12.75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ht="12.75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ht="12.75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ht="12.75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ht="12.75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ht="12.75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ht="12.75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ht="12.75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ht="12.75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ht="12.75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ht="12.75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ht="12.75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ht="12.75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ht="12.75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ht="12.75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ht="12.75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ht="12.75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ht="12.75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ht="12.75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ht="12.75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ht="12.75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ht="12.75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ht="12.75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ht="12.75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ht="12.75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ht="12.75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ht="12.75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ht="12.75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ht="12.75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ht="12.75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ht="12.75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ht="12.75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ht="12.75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ht="12.75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ht="12.75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ht="12.75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ht="12.75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ht="12.75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ht="12.75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ht="12.75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ht="12.75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ht="12.75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ht="12.75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ht="12.75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ht="12.75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ht="12.75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ht="12.75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ht="12.75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ht="12.75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ht="12.75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ht="12.75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ht="12.75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ht="12.75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ht="12.75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ht="12.75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ht="12.75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ht="12.75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ht="12.75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ht="12.75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ht="12.75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ht="12.75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ht="12.75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ht="12.75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ht="12.75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ht="12.75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ht="12.75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ht="12.75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ht="12.75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ht="12.75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ht="12.75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ht="12.75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ht="12.75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ht="12.75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ht="12.75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ht="12.75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ht="12.75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ht="12.75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ht="12.75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ht="12.75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ht="12.75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ht="12.75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ht="12.75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ht="12.75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ht="12.75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ht="12.75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ht="12.75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ht="12.75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ht="12.75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ht="12.75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ht="12.75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ht="12.75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ht="12.75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ht="12.75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ht="12.75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ht="12.75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ht="12.75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ht="12.75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ht="12.75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ht="12.75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ht="12.75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ht="12.75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ht="12.75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ht="12.75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 ht="12.75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 ht="12.75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 ht="12.75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 ht="12.75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 ht="12.75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 ht="12.75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 ht="12.75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 ht="12.75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 ht="12.75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 ht="12.75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 ht="12.75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ht="12.75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ht="12.75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ht="12.75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ht="12.75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ht="12.75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ht="12.75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ht="12.75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ht="12.75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ht="12.75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ht="12.75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ht="12.75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ht="12.75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ht="12.75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ht="12.75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ht="12.75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ht="12.75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ht="12.75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ht="12.75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ht="12.75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ht="12.75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ht="12.75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ht="12.75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ht="12.75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ht="12.75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ht="12.75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ht="12.75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ht="12.75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ht="12.75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ht="12.75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ht="12.75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ht="12.75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ht="12.75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ht="12.75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ht="12.75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ht="12.75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ht="12.75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ht="12.75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ht="12.75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ht="12.75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ht="12.75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ht="12.75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ht="12.75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ht="12.75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ht="12.75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ht="12.75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ht="12.75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ht="12.75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ht="12.75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ht="12.75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ht="12.75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ht="12.75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ht="12.75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ht="12.75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ht="12.75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ht="12.75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ht="12.75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ht="12.75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ht="12.75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ht="12.75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ht="12.75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ht="12.75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ht="12.75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ht="12.75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ht="12.75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ht="12.75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ht="12.75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ht="12.75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ht="12.75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ht="12.75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ht="12.75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ht="12.75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ht="12.75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ht="12.75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ht="12.75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ht="12.75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ht="12.75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ht="12.75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ht="12.75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ht="12.75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ht="12.75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ht="12.75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ht="12.75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ht="12.75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ht="12.75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ht="12.75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ht="12.75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ht="12.75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ht="12.75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ht="12.75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ht="12.75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ht="12.75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ht="12.75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ht="12.75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ht="12.75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ht="12.75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ht="12.75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ht="12.75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ht="12.75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ht="12.75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ht="12.75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ht="12.75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ht="12.75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ht="12.75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ht="12.75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ht="12.75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ht="12.75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ht="12.75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ht="12.75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ht="12.75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ht="12.75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ht="12.75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ht="12.75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ht="12.75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 ht="12.75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 ht="12.75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 ht="12.75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 ht="12.75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 ht="12.75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 ht="12.75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 ht="12.75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 ht="12.75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 ht="12.75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 ht="12.75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 ht="12.75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 ht="12.75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 ht="12.75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 ht="12.75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 ht="12.75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 ht="12.75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 ht="12.75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 ht="12.75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 ht="12.75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 ht="12.75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 ht="12.75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 ht="12.75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 ht="12.75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 ht="12.75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 ht="12.75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 ht="12.75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 ht="12.75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 ht="12.75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 ht="12.75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 ht="12.75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 ht="12.75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 ht="12.75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 ht="12.75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 ht="12.75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 ht="12.75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 ht="12.75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ht="12.75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ht="12.75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 ht="12.75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 ht="12.75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 ht="12.75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 ht="12.75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 ht="12.75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ht="12.75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ht="12.75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ht="12.75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ht="12.75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ht="12.75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ht="12.75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ht="12.75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ht="12.75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ht="12.75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ht="12.75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ht="12.75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ht="12.75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ht="12.75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ht="12.75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ht="12.75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ht="12.75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ht="12.75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 ht="12.75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 ht="12.75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ht="12.75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ht="12.75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ht="12.75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 ht="12.75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 ht="12.75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 ht="12.75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 ht="12.75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 ht="12.75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 ht="12.75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 ht="12.75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 ht="12.75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 ht="12.75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 ht="12.75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 ht="12.75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 ht="12.75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 ht="12.75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 ht="12.75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 ht="12.75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 ht="12.75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 ht="12.75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 ht="12.75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 ht="12.75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 ht="12.75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2:11" ht="12.75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2:11" ht="12.75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2:11" ht="12.75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2:11" ht="12.75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ht="12.75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2:11" ht="12.75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2:11" ht="12.75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2:11" ht="12.75"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2:11" ht="12.75"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2:11" ht="12.75"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2:11" ht="12.75"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2:11" ht="12.75"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2:11" ht="12.75"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2:11" ht="12.75"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2:11" ht="12.75"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2:11" ht="12.75"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2:11" ht="12.75"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2:11" ht="12.75"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2:11" ht="12.75"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2:11" ht="12.75"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2:11" ht="12.75"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2:11" ht="12.75"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2:11" ht="12.75"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2:11" ht="12.75"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2:11" ht="12.75"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2:11" ht="12.75"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2:11" ht="12.75"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2:11" ht="12.75"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2:11" ht="12.75"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2:11" ht="12.75"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2:11" ht="12.75"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2:11" ht="12.75"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2:11" ht="12.75"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2:11" ht="12.75"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2:11" ht="12.75"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2:11" ht="12.75"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2:11" ht="12.75"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2:11" ht="12.75"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2:11" ht="12.75"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2:11" ht="12.75"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2:11" ht="12.75"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2:11" ht="12.75"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2:11" ht="12.75"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2:11" ht="12.75"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2:11" ht="12.75"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2:11" ht="12.75"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2:11" ht="12.75"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2:11" ht="12.75"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2:11" ht="12.75"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2:11" ht="12.75"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2:11" ht="12.75"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2:11" ht="12.75"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2:11" ht="12.75"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2:11" ht="12.75"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2:11" ht="12.75"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2:11" ht="12.75"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2:11" ht="12.75"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2:11" ht="12.75"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2:11" ht="12.75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2:11" ht="12.75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2:11" ht="12.75"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2:11" ht="12.75"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2:11" ht="12.75"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2:11" ht="12.75"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2:11" ht="12.75"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2:11" ht="12.75"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2:11" ht="12.75"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2:11" ht="12.75"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2:11" ht="12.75"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2:11" ht="12.75"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2:11" ht="12.75"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2:11" ht="12.75"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2:11" ht="12.75"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2:11" ht="12.75"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2:11" ht="12.75"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2:11" ht="12.75"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2:11" ht="12.75"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2:11" ht="12.75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2:11" ht="12.75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2:11" ht="12.75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2:11" ht="12.75"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2:11" ht="12.75"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2:11" ht="12.75"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2:11" ht="12.75"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2:11" ht="12.75"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2:11" ht="12.75"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2:11" ht="12.75"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2:11" ht="12.75"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2:11" ht="12.75"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2:11" ht="12.75"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2:11" ht="12.75"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2:11" ht="12.75"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2:11" ht="12.75"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2:11" ht="12.75"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2:11" ht="12.75"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2:11" ht="12.75"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2:11" ht="12.75"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2:11" ht="12.75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2:11" ht="12.75"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2:11" ht="12.75"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2:11" ht="12.75"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2:11" ht="12.75"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2:11" ht="12.75"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2:11" ht="12.75"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2:11" ht="12.75"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2:11" ht="12.75"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2:11" ht="12.75"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2:11" ht="12.75"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2:11" ht="12.75"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2:11" ht="12.75"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2:11" ht="12.75"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2:11" ht="12.75"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2:11" ht="12.75"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2:11" ht="12.75"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2:11" ht="12.75"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2:11" ht="12.75"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2:11" ht="12.75"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2:11" ht="12.75"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2:11" ht="12.75"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2:11" ht="12.75"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2:11" ht="12.75"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2:11" ht="12.75"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2:11" ht="12.75"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2:11" ht="12.75"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2:11" ht="12.75"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2:11" ht="12.75"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2:11" ht="12.75"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2:11" ht="12.75"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2:11" ht="12.75"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2:11" ht="12.75"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2:11" ht="12.75"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2:11" ht="12.75"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2:11" ht="12.75"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2:11" ht="12.75"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2:11" ht="12.75"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2:11" ht="12.75"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2:11" ht="12.75"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2:11" ht="12.75"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2:11" ht="12.75"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2:11" ht="12.75"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2:11" ht="12.75"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2:11" ht="12.75"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2:11" ht="12.75"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2:11" ht="12.75"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2:11" ht="12.75"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2:11" ht="12.75"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2:11" ht="12.75"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2:11" ht="12.75"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2:11" ht="12.75"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2:11" ht="12.75"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2:11" ht="12.75"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2:11" ht="12.75"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2:11" ht="12.75"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2:11" ht="12.75"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2:11" ht="12.75"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2:11" ht="12.75"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2:11" ht="12.75"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2:11" ht="12.75"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2:11" ht="12.75"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2:11" ht="12.75"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2:11" ht="12.75"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2:11" ht="12.75"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2:11" ht="12.75"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2:11" ht="12.75"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2:11" ht="12.75"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2:11" ht="12.75"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2:11" ht="12.75"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2:11" ht="12.75"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2:11" ht="12.75"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2:11" ht="12.75"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2:11" ht="12.75"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2:11" ht="12.75"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2:11" ht="12.75"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2:11" ht="12.75"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2:11" ht="12.75"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2:11" ht="12.75"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2:11" ht="12.75"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2:11" ht="12.75"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2:11" ht="12.75"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2:11" ht="12.75"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2:11" ht="12.75"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2:11" ht="12.75"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2:11" ht="12.75"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2:11" ht="12.75"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2:11" ht="12.75"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2:11" ht="12.75"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2:11" ht="12.75"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2:11" ht="12.75"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2:11" ht="12.75"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2:11" ht="12.75"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2:11" ht="12.75"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2:11" ht="12.75"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2:11" ht="12.75"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2:11" ht="12.75"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2:11" ht="12.75"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2:11" ht="12.75"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2:11" ht="12.75"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2:11" ht="12.75"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2:11" ht="12.75"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2:11" ht="12.75"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2:11" ht="12.75"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2:11" ht="12.75"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2:11" ht="12.75"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2:11" ht="12.75"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2:11" ht="12.75"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2:11" ht="12.75"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2:11" ht="12.75"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2:11" ht="12.75"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2:11" ht="12.75"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2:11" ht="12.75"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2:11" ht="12.75"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2:11" ht="12.75"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2:11" ht="12.75"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2:11" ht="12.75"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2:11" ht="12.75"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2:11" ht="12.75"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2:11" ht="12.75"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2:11" ht="12.75"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2:11" ht="12.75"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2:11" ht="12.75"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2:11" ht="12.75"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2:11" ht="12.75"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2:11" ht="12.75"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2:11" ht="12.75"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2:11" ht="12.75"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2:11" ht="12.75"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2:11" ht="12.75"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2:11" ht="12.75"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2:11" ht="12.75"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2:11" ht="12.75"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2:11" ht="12.75"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2:11" ht="12.75"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2:11" ht="12.75"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2:11" ht="12.75"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2:11" ht="12.75"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2:11" ht="12.75"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2:11" ht="12.75"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2:11" ht="12.75"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2:11" ht="12.75"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2:11" ht="12.75"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2:11" ht="12.75"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2:11" ht="12.75"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2:11" ht="12.75"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2:11" ht="12.75"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2:11" ht="12.75"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2:11" ht="12.75"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2:11" ht="12.75"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2:11" ht="12.75"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2:11" ht="12.75"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2:11" ht="12.75"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2:11" ht="12.75"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2:11" ht="12.75"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2:11" ht="12.75"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2:11" ht="12.75"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2:11" ht="12.75"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2:11" ht="12.75"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2:11" ht="12.75"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2:11" ht="12.75"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2:11" ht="12.75"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2:11" ht="12.75"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2:11" ht="12.75"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2:11" ht="12.75"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2:11" ht="12.75"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2:11" ht="12.75"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2:11" ht="12.75"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2:11" ht="12.75"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2:11" ht="12.75"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2:11" ht="12.75"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2:11" ht="12.75"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2:11" ht="12.75"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2:11" ht="12.75"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2:11" ht="12.75"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2:11" ht="12.75"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2:11" ht="12.75"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2:11" ht="12.75"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2:11" ht="12.75"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2:11" ht="12.75"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2:11" ht="12.75"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2:11" ht="12.75"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2:11" ht="12.75"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2:11" ht="12.75"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2:11" ht="12.75"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2:11" ht="12.75"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2:11" ht="12.75"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2:11" ht="12.75"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2:11" ht="12.75"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2:11" ht="12.75"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2:11" ht="12.75"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2:11" ht="12.75"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2:11" ht="12.75"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2:11" ht="12.75"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2:11" ht="12.75"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2:11" ht="12.75"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2:11" ht="12.75"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2:11" ht="12.75"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2:11" ht="12.75"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2:11" ht="12.75"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2:11" ht="12.75"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2:11" ht="12.75"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2:11" ht="12.75"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2:11" ht="12.75"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2:11" ht="12.75"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2:11" ht="12.75"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2:11" ht="12.75"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2:11" ht="12.75"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2:11" ht="12.75"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2:11" ht="12.75"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2:11" ht="12.75"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2:11" ht="12.75"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2:11" ht="12.75"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2:11" ht="12.75"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2:11" ht="12.75"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2:11" ht="12.75"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2:11" ht="12.75"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2:11" ht="12.75"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2:11" ht="12.75"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2:11" ht="12.75"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2:11" ht="12.75"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2:11" ht="12.75"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2:11" ht="12.75"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2:11" ht="12.75"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2:11" ht="12.75"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2:11" ht="12.75"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2:11" ht="12.75"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2:11" ht="12.75"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2:11" ht="12.75"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2:11" ht="12.75"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2:11" ht="12.75"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2:11" ht="12.75"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2:11" ht="12.75"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2:11" ht="12.75"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2:11" ht="12.75"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2:11" ht="12.75"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2:11" ht="12.75"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2:11" ht="12.75"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2:11" ht="12.75"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2:11" ht="12.75"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2:11" ht="12.75"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2:11" ht="12.75"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2:11" ht="12.75"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2:11" ht="12.75"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2:11" ht="12.75"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2:11" ht="12.75"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2:11" ht="12.75"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2:11" ht="12.75"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2:11" ht="12.75"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2:11" ht="12.75"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2:11" ht="12.75"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2:11" ht="12.75"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2:11" ht="12.75"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2:11" ht="12.75"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2:11" ht="12.75"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2:11" ht="12.75"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2:11" ht="12.75"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2:11" ht="12.75"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2:11" ht="12.75"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2:11" ht="12.75"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2:11" ht="12.75"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2:11" ht="12.75"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2:11" ht="12.75"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2:11" ht="12.75"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2:11" ht="12.75"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2:11" ht="12.75"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2:11" ht="12.75"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2:11" ht="12.75"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2:11" ht="12.75"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2:11" ht="12.75"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2:11" ht="12.75"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2:11" ht="12.75"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2:11" ht="12.75"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2:11" ht="12.75"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2:11" ht="12.75"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2:11" ht="12.75"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2:11" ht="12.75"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2:11" ht="12.75"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2:11" ht="12.75"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2:11" ht="12.75"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2:11" ht="12.75"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2:11" ht="12.75"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2:11" ht="12.75"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2:11" ht="12.75"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2:11" ht="12.75"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2:11" ht="12.75"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2:11" ht="12.75"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2:11" ht="12.75">
      <c r="B938" s="1"/>
      <c r="F938" s="1"/>
      <c r="G938" s="1"/>
      <c r="H938" s="1"/>
      <c r="I938" s="1"/>
      <c r="J938" s="1"/>
      <c r="K938" s="1"/>
    </row>
    <row r="939" spans="2:11" ht="12.75">
      <c r="B939" s="1"/>
      <c r="F939" s="1"/>
      <c r="G939" s="1"/>
      <c r="H939" s="1"/>
      <c r="I939" s="1"/>
      <c r="J939" s="1"/>
      <c r="K939" s="1"/>
    </row>
    <row r="940" spans="2:11" ht="12.75">
      <c r="B940" s="1"/>
      <c r="F940" s="1"/>
      <c r="G940" s="1"/>
      <c r="H940" s="1"/>
      <c r="I940" s="1"/>
      <c r="J940" s="1"/>
      <c r="K940" s="1"/>
    </row>
    <row r="941" spans="2:11" ht="12.75">
      <c r="B941" s="1"/>
      <c r="F941" s="1"/>
      <c r="G941" s="1"/>
      <c r="H941" s="1"/>
      <c r="I941" s="1"/>
      <c r="J941" s="1"/>
      <c r="K941" s="1"/>
    </row>
    <row r="942" spans="2:11" ht="12.75">
      <c r="B942" s="1"/>
      <c r="F942" s="1"/>
      <c r="G942" s="1"/>
      <c r="H942" s="1"/>
      <c r="I942" s="1"/>
      <c r="J942" s="1"/>
      <c r="K942" s="1"/>
    </row>
    <row r="943" spans="2:11" ht="12.75">
      <c r="B943" s="1"/>
      <c r="F943" s="1"/>
      <c r="G943" s="1"/>
      <c r="H943" s="1"/>
      <c r="I943" s="1"/>
      <c r="J943" s="1"/>
      <c r="K943" s="1"/>
    </row>
    <row r="944" spans="2:11" ht="12.75">
      <c r="B944" s="1"/>
      <c r="F944" s="1"/>
      <c r="G944" s="1"/>
      <c r="H944" s="1"/>
      <c r="I944" s="1"/>
      <c r="J944" s="1"/>
      <c r="K944" s="1"/>
    </row>
    <row r="945" spans="2:11" ht="12.75">
      <c r="B945" s="1"/>
      <c r="F945" s="1"/>
      <c r="G945" s="1"/>
      <c r="H945" s="1"/>
      <c r="I945" s="1"/>
      <c r="J945" s="1"/>
      <c r="K945" s="1"/>
    </row>
    <row r="946" spans="2:11" ht="12.75">
      <c r="B946" s="1"/>
      <c r="F946" s="1"/>
      <c r="G946" s="1"/>
      <c r="H946" s="1"/>
      <c r="I946" s="1"/>
      <c r="J946" s="1"/>
      <c r="K946" s="1"/>
    </row>
    <row r="947" spans="2:11" ht="12.75">
      <c r="B947" s="1"/>
      <c r="F947" s="1"/>
      <c r="G947" s="1"/>
      <c r="H947" s="1"/>
      <c r="I947" s="1"/>
      <c r="J947" s="1"/>
      <c r="K947" s="1"/>
    </row>
    <row r="948" spans="2:11" ht="12.75">
      <c r="B948" s="1"/>
      <c r="F948" s="1"/>
      <c r="G948" s="1"/>
      <c r="H948" s="1"/>
      <c r="I948" s="1"/>
      <c r="J948" s="1"/>
      <c r="K948" s="1"/>
    </row>
    <row r="949" spans="2:11" ht="12.75">
      <c r="B949" s="1"/>
      <c r="F949" s="1"/>
      <c r="G949" s="1"/>
      <c r="H949" s="1"/>
      <c r="I949" s="1"/>
      <c r="J949" s="1"/>
      <c r="K949" s="1"/>
    </row>
    <row r="950" spans="2:11" ht="12.75">
      <c r="B950" s="1"/>
      <c r="F950" s="1"/>
      <c r="G950" s="1"/>
      <c r="H950" s="1"/>
      <c r="I950" s="1"/>
      <c r="J950" s="1"/>
      <c r="K950" s="1"/>
    </row>
    <row r="951" spans="2:11" ht="12.75">
      <c r="B951" s="1"/>
      <c r="F951" s="1"/>
      <c r="G951" s="1"/>
      <c r="H951" s="1"/>
      <c r="I951" s="1"/>
      <c r="J951" s="1"/>
      <c r="K951" s="1"/>
    </row>
    <row r="952" spans="2:11" ht="12.75">
      <c r="B952" s="1"/>
      <c r="F952" s="1"/>
      <c r="G952" s="1"/>
      <c r="H952" s="1"/>
      <c r="I952" s="1"/>
      <c r="J952" s="1"/>
      <c r="K952" s="1"/>
    </row>
    <row r="953" spans="2:11" ht="12.75">
      <c r="B953" s="1"/>
      <c r="F953" s="1"/>
      <c r="G953" s="1"/>
      <c r="H953" s="1"/>
      <c r="I953" s="1"/>
      <c r="J953" s="1"/>
      <c r="K953" s="1"/>
    </row>
    <row r="954" spans="2:11" ht="12.75">
      <c r="B954" s="1"/>
      <c r="F954" s="1"/>
      <c r="G954" s="1"/>
      <c r="H954" s="1"/>
      <c r="I954" s="1"/>
      <c r="J954" s="1"/>
      <c r="K954" s="1"/>
    </row>
    <row r="955" spans="2:11" ht="12.75">
      <c r="B955" s="1"/>
      <c r="F955" s="1"/>
      <c r="G955" s="1"/>
      <c r="H955" s="1"/>
      <c r="I955" s="1"/>
      <c r="J955" s="1"/>
      <c r="K955" s="1"/>
    </row>
    <row r="956" spans="2:11" ht="12.75">
      <c r="B956" s="1"/>
      <c r="F956" s="1"/>
      <c r="G956" s="1"/>
      <c r="H956" s="1"/>
      <c r="I956" s="1"/>
      <c r="J956" s="1"/>
      <c r="K956" s="1"/>
    </row>
    <row r="957" spans="2:11" ht="12.75">
      <c r="B957" s="1"/>
      <c r="G957" s="1"/>
      <c r="H957" s="1"/>
      <c r="I957" s="1"/>
      <c r="J957" s="1"/>
      <c r="K957" s="1"/>
    </row>
    <row r="958" spans="2:11" ht="12.75">
      <c r="B958" s="1"/>
      <c r="G958" s="1"/>
      <c r="H958" s="1"/>
      <c r="I958" s="1"/>
      <c r="J958" s="1"/>
      <c r="K958" s="1"/>
    </row>
    <row r="959" spans="2:11" ht="12.75">
      <c r="B959" s="1"/>
      <c r="G959" s="1"/>
      <c r="H959" s="1"/>
      <c r="I959" s="1"/>
      <c r="J959" s="1"/>
      <c r="K959" s="1"/>
    </row>
    <row r="960" spans="2:11" ht="12.75">
      <c r="B960" s="1"/>
      <c r="G960" s="1"/>
      <c r="H960" s="1"/>
      <c r="I960" s="1"/>
      <c r="J960" s="1"/>
      <c r="K960" s="1"/>
    </row>
    <row r="961" spans="2:11" ht="12.75">
      <c r="B961" s="1"/>
      <c r="G961" s="1"/>
      <c r="H961" s="1"/>
      <c r="I961" s="1"/>
      <c r="J961" s="1"/>
      <c r="K961" s="1"/>
    </row>
    <row r="962" spans="2:11" ht="12.75">
      <c r="B962" s="1"/>
      <c r="G962" s="1"/>
      <c r="H962" s="1"/>
      <c r="I962" s="1"/>
      <c r="J962" s="1"/>
      <c r="K962" s="1"/>
    </row>
    <row r="963" spans="2:11" ht="12.75">
      <c r="B963" s="1"/>
      <c r="G963" s="1"/>
      <c r="H963" s="1"/>
      <c r="I963" s="1"/>
      <c r="J963" s="1"/>
      <c r="K963" s="1"/>
    </row>
    <row r="964" spans="2:11" ht="12.75">
      <c r="B964" s="1"/>
      <c r="G964" s="1"/>
      <c r="H964" s="1"/>
      <c r="I964" s="1"/>
      <c r="J964" s="1"/>
      <c r="K964" s="1"/>
    </row>
    <row r="965" spans="2:11" ht="12.75">
      <c r="B965" s="1"/>
      <c r="G965" s="1"/>
      <c r="H965" s="1"/>
      <c r="I965" s="1"/>
      <c r="J965" s="1"/>
      <c r="K965" s="1"/>
    </row>
    <row r="966" spans="2:11" ht="12.75">
      <c r="B966" s="1"/>
      <c r="G966" s="1"/>
      <c r="H966" s="1"/>
      <c r="I966" s="1"/>
      <c r="J966" s="1"/>
      <c r="K966" s="1"/>
    </row>
    <row r="967" spans="2:11" ht="12.75">
      <c r="B967" s="1"/>
      <c r="G967" s="1"/>
      <c r="H967" s="1"/>
      <c r="I967" s="1"/>
      <c r="J967" s="1"/>
      <c r="K967" s="1"/>
    </row>
    <row r="968" spans="10:11" ht="12.75">
      <c r="J968" s="1"/>
      <c r="K968" s="1"/>
    </row>
    <row r="969" spans="10:11" ht="12.75">
      <c r="J969" s="1"/>
      <c r="K969" s="1"/>
    </row>
    <row r="970" spans="10:11" ht="12.75">
      <c r="J970" s="1"/>
      <c r="K970" s="1"/>
    </row>
    <row r="971" spans="10:11" ht="12.75">
      <c r="J971" s="1"/>
      <c r="K971" s="1"/>
    </row>
    <row r="972" spans="10:11" ht="12.75">
      <c r="J972" s="1"/>
      <c r="K972" s="1"/>
    </row>
    <row r="973" spans="10:11" ht="12.75">
      <c r="J973" s="1"/>
      <c r="K973" s="1"/>
    </row>
    <row r="974" spans="10:11" ht="12.75">
      <c r="J974" s="1"/>
      <c r="K974" s="1"/>
    </row>
    <row r="975" spans="10:11" ht="12.75">
      <c r="J975" s="1"/>
      <c r="K975" s="1"/>
    </row>
    <row r="976" spans="10:11" ht="12.75">
      <c r="J976" s="1"/>
      <c r="K976" s="1"/>
    </row>
    <row r="977" spans="10:11" ht="12.75">
      <c r="J977" s="1"/>
      <c r="K977" s="1"/>
    </row>
    <row r="978" spans="10:11" ht="12.75">
      <c r="J978" s="1"/>
      <c r="K978" s="1"/>
    </row>
    <row r="979" spans="10:11" ht="12.75">
      <c r="J979" s="1"/>
      <c r="K979" s="1"/>
    </row>
    <row r="980" spans="10:11" ht="12.75">
      <c r="J980" s="1"/>
      <c r="K980" s="1"/>
    </row>
    <row r="981" spans="10:11" ht="12.75">
      <c r="J981" s="1"/>
      <c r="K981" s="1"/>
    </row>
    <row r="982" spans="10:11" ht="12.75">
      <c r="J982" s="1"/>
      <c r="K982" s="1"/>
    </row>
    <row r="983" spans="10:11" ht="12.75">
      <c r="J983" s="1"/>
      <c r="K983" s="1"/>
    </row>
    <row r="984" spans="10:11" ht="12.75">
      <c r="J984" s="1"/>
      <c r="K984" s="1"/>
    </row>
    <row r="985" spans="10:11" ht="12.75">
      <c r="J985" s="1"/>
      <c r="K985" s="1"/>
    </row>
    <row r="986" spans="10:11" ht="12.75">
      <c r="J986" s="1"/>
      <c r="K986" s="1"/>
    </row>
    <row r="987" spans="10:11" ht="12.75">
      <c r="J987" s="1"/>
      <c r="K987" s="1"/>
    </row>
    <row r="988" spans="10:11" ht="12.75">
      <c r="J988" s="1"/>
      <c r="K988" s="1"/>
    </row>
  </sheetData>
  <mergeCells count="3">
    <mergeCell ref="E7:G7"/>
    <mergeCell ref="C38:D38"/>
    <mergeCell ref="C39:D39"/>
  </mergeCells>
  <printOptions/>
  <pageMargins left="0.75" right="0.75" top="1" bottom="1" header="0.5" footer="0.5"/>
  <pageSetup horizontalDpi="600" verticalDpi="600" orientation="landscape" paperSize="8" r:id="rId1"/>
  <headerFooter alignWithMargins="0">
    <oddHeader>&amp;L&amp;16APPENDIX 6 - INDOOR FACILITIES ANALYSIS</oddHeader>
    <oddFooter>&amp;CPage &amp;P</oddFooter>
  </headerFooter>
  <rowBreaks count="1" manualBreakCount="1">
    <brk id="8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D41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53.8515625" style="0" customWidth="1"/>
    <col min="2" max="2" width="12.7109375" style="0" customWidth="1"/>
    <col min="3" max="3" width="36.7109375" style="0" bestFit="1" customWidth="1"/>
    <col min="4" max="4" width="21.140625" style="0" customWidth="1"/>
  </cols>
  <sheetData>
    <row r="2" ht="18">
      <c r="A2" s="37" t="s">
        <v>55</v>
      </c>
    </row>
    <row r="4" spans="1:4" ht="15.75">
      <c r="A4" s="54" t="s">
        <v>12</v>
      </c>
      <c r="B4" s="40" t="s">
        <v>13</v>
      </c>
      <c r="C4" s="41" t="s">
        <v>14</v>
      </c>
      <c r="D4" s="41" t="s">
        <v>53</v>
      </c>
    </row>
    <row r="5" spans="1:4" ht="12.75">
      <c r="A5" s="55" t="s">
        <v>59</v>
      </c>
      <c r="B5" s="56">
        <v>4</v>
      </c>
      <c r="C5" s="57" t="s">
        <v>16</v>
      </c>
      <c r="D5" s="57" t="s">
        <v>94</v>
      </c>
    </row>
    <row r="6" spans="1:4" ht="12.75">
      <c r="A6" s="46" t="s">
        <v>60</v>
      </c>
      <c r="B6" s="49">
        <v>14</v>
      </c>
      <c r="C6" s="48" t="s">
        <v>15</v>
      </c>
      <c r="D6" s="48" t="s">
        <v>95</v>
      </c>
    </row>
    <row r="7" spans="1:4" ht="12.75">
      <c r="A7" s="46" t="s">
        <v>61</v>
      </c>
      <c r="B7" s="49">
        <v>9</v>
      </c>
      <c r="C7" s="48" t="s">
        <v>92</v>
      </c>
      <c r="D7" s="48" t="s">
        <v>95</v>
      </c>
    </row>
    <row r="8" spans="1:4" ht="12.75">
      <c r="A8" s="46" t="s">
        <v>62</v>
      </c>
      <c r="B8" s="49">
        <v>4</v>
      </c>
      <c r="C8" s="48" t="s">
        <v>15</v>
      </c>
      <c r="D8" s="48" t="s">
        <v>96</v>
      </c>
    </row>
    <row r="9" spans="1:4" ht="12.75">
      <c r="A9" s="46" t="s">
        <v>63</v>
      </c>
      <c r="B9" s="49">
        <v>10</v>
      </c>
      <c r="C9" s="48" t="s">
        <v>15</v>
      </c>
      <c r="D9" s="48" t="s">
        <v>96</v>
      </c>
    </row>
    <row r="10" spans="1:4" ht="12.75">
      <c r="A10" s="46" t="s">
        <v>64</v>
      </c>
      <c r="B10" s="49">
        <v>33</v>
      </c>
      <c r="C10" s="48" t="s">
        <v>15</v>
      </c>
      <c r="D10" s="48" t="s">
        <v>96</v>
      </c>
    </row>
    <row r="11" spans="1:4" ht="12.75">
      <c r="A11" s="47" t="s">
        <v>65</v>
      </c>
      <c r="B11" s="49">
        <v>5</v>
      </c>
      <c r="C11" s="48" t="s">
        <v>92</v>
      </c>
      <c r="D11" s="48" t="s">
        <v>95</v>
      </c>
    </row>
    <row r="12" spans="1:4" ht="12.75">
      <c r="A12" s="46" t="s">
        <v>66</v>
      </c>
      <c r="B12" s="50">
        <v>45</v>
      </c>
      <c r="C12" s="51" t="s">
        <v>15</v>
      </c>
      <c r="D12" s="51" t="s">
        <v>95</v>
      </c>
    </row>
    <row r="13" spans="1:4" ht="12.75">
      <c r="A13" s="46" t="s">
        <v>67</v>
      </c>
      <c r="B13" s="49">
        <v>22</v>
      </c>
      <c r="C13" s="48" t="s">
        <v>15</v>
      </c>
      <c r="D13" s="48" t="s">
        <v>96</v>
      </c>
    </row>
    <row r="14" spans="1:4" ht="12.75">
      <c r="A14" s="46" t="s">
        <v>68</v>
      </c>
      <c r="B14" s="50">
        <v>40</v>
      </c>
      <c r="C14" s="51" t="s">
        <v>92</v>
      </c>
      <c r="D14" s="51" t="s">
        <v>95</v>
      </c>
    </row>
    <row r="15" spans="1:4" ht="12.75">
      <c r="A15" s="46" t="s">
        <v>69</v>
      </c>
      <c r="B15" s="50">
        <v>28</v>
      </c>
      <c r="C15" s="51" t="s">
        <v>92</v>
      </c>
      <c r="D15" s="51" t="s">
        <v>95</v>
      </c>
    </row>
    <row r="16" spans="1:4" ht="12.75">
      <c r="A16" s="46" t="s">
        <v>70</v>
      </c>
      <c r="B16" s="50">
        <v>20</v>
      </c>
      <c r="C16" s="51" t="s">
        <v>92</v>
      </c>
      <c r="D16" s="48" t="s">
        <v>95</v>
      </c>
    </row>
    <row r="17" spans="1:4" ht="12.75">
      <c r="A17" s="46" t="s">
        <v>71</v>
      </c>
      <c r="B17" s="49">
        <v>100</v>
      </c>
      <c r="C17" s="48" t="s">
        <v>92</v>
      </c>
      <c r="D17" s="48" t="s">
        <v>95</v>
      </c>
    </row>
    <row r="18" spans="1:4" ht="12.75">
      <c r="A18" s="46" t="s">
        <v>72</v>
      </c>
      <c r="B18" s="50">
        <v>51</v>
      </c>
      <c r="C18" s="51" t="s">
        <v>15</v>
      </c>
      <c r="D18" s="52" t="s">
        <v>95</v>
      </c>
    </row>
    <row r="19" spans="1:4" ht="12.75">
      <c r="A19" s="60" t="s">
        <v>73</v>
      </c>
      <c r="B19" s="59">
        <v>20</v>
      </c>
      <c r="C19" s="60" t="s">
        <v>16</v>
      </c>
      <c r="D19" s="61" t="s">
        <v>94</v>
      </c>
    </row>
    <row r="20" spans="1:4" ht="12.75">
      <c r="A20" s="46" t="s">
        <v>74</v>
      </c>
      <c r="B20" s="49">
        <v>30</v>
      </c>
      <c r="C20" s="48" t="s">
        <v>15</v>
      </c>
      <c r="D20" s="45" t="s">
        <v>96</v>
      </c>
    </row>
    <row r="21" spans="1:4" ht="12.75">
      <c r="A21" s="46" t="s">
        <v>75</v>
      </c>
      <c r="B21" s="49">
        <v>16</v>
      </c>
      <c r="C21" s="48" t="s">
        <v>15</v>
      </c>
      <c r="D21" s="48" t="s">
        <v>96</v>
      </c>
    </row>
    <row r="22" spans="1:4" ht="12.75">
      <c r="A22" s="46" t="s">
        <v>76</v>
      </c>
      <c r="B22" s="49">
        <v>44</v>
      </c>
      <c r="C22" s="48" t="s">
        <v>15</v>
      </c>
      <c r="D22" s="48" t="s">
        <v>96</v>
      </c>
    </row>
    <row r="23" spans="1:4" ht="12.75">
      <c r="A23" s="46" t="s">
        <v>77</v>
      </c>
      <c r="B23" s="49">
        <v>40</v>
      </c>
      <c r="C23" s="48" t="s">
        <v>15</v>
      </c>
      <c r="D23" s="48" t="s">
        <v>95</v>
      </c>
    </row>
    <row r="24" spans="1:4" ht="12.75">
      <c r="A24" s="58" t="s">
        <v>78</v>
      </c>
      <c r="B24" s="59">
        <v>13</v>
      </c>
      <c r="C24" s="60" t="s">
        <v>16</v>
      </c>
      <c r="D24" s="55" t="s">
        <v>97</v>
      </c>
    </row>
    <row r="25" spans="1:4" ht="12.75">
      <c r="A25" s="60" t="s">
        <v>79</v>
      </c>
      <c r="B25" s="59">
        <v>9</v>
      </c>
      <c r="C25" s="60" t="s">
        <v>16</v>
      </c>
      <c r="D25" s="57" t="s">
        <v>94</v>
      </c>
    </row>
    <row r="26" spans="1:4" ht="12.75">
      <c r="A26" s="60" t="s">
        <v>80</v>
      </c>
      <c r="B26" s="59">
        <v>29</v>
      </c>
      <c r="C26" s="60" t="s">
        <v>16</v>
      </c>
      <c r="D26" s="57" t="s">
        <v>94</v>
      </c>
    </row>
    <row r="27" spans="1:4" ht="12.75">
      <c r="A27" s="60" t="s">
        <v>81</v>
      </c>
      <c r="B27" s="59">
        <v>28</v>
      </c>
      <c r="C27" s="60" t="s">
        <v>16</v>
      </c>
      <c r="D27" s="57" t="s">
        <v>94</v>
      </c>
    </row>
    <row r="28" spans="1:4" ht="12.75">
      <c r="A28" s="46" t="s">
        <v>82</v>
      </c>
      <c r="B28" s="49">
        <v>60</v>
      </c>
      <c r="C28" s="48" t="s">
        <v>15</v>
      </c>
      <c r="D28" s="45" t="s">
        <v>95</v>
      </c>
    </row>
    <row r="29" spans="1:4" ht="12.75">
      <c r="A29" s="60" t="s">
        <v>83</v>
      </c>
      <c r="B29" s="59">
        <v>10</v>
      </c>
      <c r="C29" s="60" t="s">
        <v>16</v>
      </c>
      <c r="D29" s="61" t="s">
        <v>94</v>
      </c>
    </row>
    <row r="30" spans="1:4" ht="12.75">
      <c r="A30" s="48" t="s">
        <v>84</v>
      </c>
      <c r="B30" s="50">
        <v>40</v>
      </c>
      <c r="C30" s="51" t="s">
        <v>15</v>
      </c>
      <c r="D30" s="51" t="s">
        <v>95</v>
      </c>
    </row>
    <row r="31" spans="1:4" ht="12.75">
      <c r="A31" s="60" t="s">
        <v>85</v>
      </c>
      <c r="B31" s="59">
        <v>20</v>
      </c>
      <c r="C31" s="60" t="s">
        <v>16</v>
      </c>
      <c r="D31" s="61" t="s">
        <v>94</v>
      </c>
    </row>
    <row r="32" spans="1:4" ht="12.75">
      <c r="A32" s="46" t="s">
        <v>86</v>
      </c>
      <c r="B32" s="49">
        <v>123</v>
      </c>
      <c r="C32" s="48" t="s">
        <v>92</v>
      </c>
      <c r="D32" s="45" t="s">
        <v>95</v>
      </c>
    </row>
    <row r="33" spans="1:4" ht="12.75">
      <c r="A33" s="46" t="s">
        <v>87</v>
      </c>
      <c r="B33" s="49">
        <v>35</v>
      </c>
      <c r="C33" s="48" t="s">
        <v>93</v>
      </c>
      <c r="D33" s="53" t="s">
        <v>94</v>
      </c>
    </row>
    <row r="34" spans="1:4" ht="12.75">
      <c r="A34" s="46" t="s">
        <v>88</v>
      </c>
      <c r="B34" s="49">
        <v>14</v>
      </c>
      <c r="C34" s="48" t="s">
        <v>15</v>
      </c>
      <c r="D34" s="45" t="s">
        <v>96</v>
      </c>
    </row>
    <row r="35" spans="1:4" ht="12.75">
      <c r="A35" s="46" t="s">
        <v>89</v>
      </c>
      <c r="B35" s="49">
        <v>16</v>
      </c>
      <c r="C35" s="48" t="s">
        <v>15</v>
      </c>
      <c r="D35" s="48" t="s">
        <v>96</v>
      </c>
    </row>
    <row r="36" spans="1:4" ht="12.75">
      <c r="A36" s="48" t="s">
        <v>90</v>
      </c>
      <c r="B36" s="49">
        <v>17</v>
      </c>
      <c r="C36" s="48" t="s">
        <v>16</v>
      </c>
      <c r="D36" s="62" t="s">
        <v>94</v>
      </c>
    </row>
    <row r="37" spans="1:4" ht="12.75">
      <c r="A37" s="46" t="s">
        <v>91</v>
      </c>
      <c r="B37" s="49">
        <v>35</v>
      </c>
      <c r="C37" s="48" t="s">
        <v>15</v>
      </c>
      <c r="D37" s="53" t="s">
        <v>94</v>
      </c>
    </row>
    <row r="38" spans="1:4" ht="12.75">
      <c r="A38" s="11" t="s">
        <v>17</v>
      </c>
      <c r="B38" s="12">
        <f>SUM(B6+B7+B8+B9+B10+B11+B12+B13+B14+B15+B16+B17+B18+B20+B21+B22+B23+B28+B30+B32+B33+B34+B35+B36+B37)</f>
        <v>851</v>
      </c>
      <c r="C38" s="166"/>
      <c r="D38" s="167"/>
    </row>
    <row r="39" spans="1:4" ht="12.75">
      <c r="A39" s="11" t="s">
        <v>56</v>
      </c>
      <c r="B39" s="12">
        <f>B7+B11+B14+B15+B16+B17+B32</f>
        <v>325</v>
      </c>
      <c r="C39" s="166"/>
      <c r="D39" s="167"/>
    </row>
    <row r="40" spans="1:4" ht="12.75">
      <c r="A40" s="11" t="s">
        <v>54</v>
      </c>
      <c r="B40" s="12">
        <f>B6+B8+B9+B10+B12+B13+B18+B20+B21+B22+B23+B28+B30+B33+B34+B35+B36+B37</f>
        <v>526</v>
      </c>
      <c r="C40" s="166"/>
      <c r="D40" s="167"/>
    </row>
    <row r="41" spans="1:4" ht="12.75">
      <c r="A41" s="63" t="s">
        <v>100</v>
      </c>
      <c r="B41" s="64">
        <f>B5+B8+B19+B24+B25+B26+B27+B29+B31+B36</f>
        <v>154</v>
      </c>
      <c r="C41" s="166"/>
      <c r="D41" s="167"/>
    </row>
  </sheetData>
  <mergeCells count="4">
    <mergeCell ref="C38:D38"/>
    <mergeCell ref="C39:D39"/>
    <mergeCell ref="C40:D40"/>
    <mergeCell ref="C41:D41"/>
  </mergeCells>
  <printOptions/>
  <pageMargins left="0.75" right="0.75" top="1" bottom="1" header="0.5" footer="0.5"/>
  <pageSetup horizontalDpi="600" verticalDpi="600" orientation="landscape" paperSize="8" r:id="rId1"/>
  <headerFooter alignWithMargins="0">
    <oddHeader>&amp;L&amp;16APPENDIX 6 - INDOOR FACILITIES AUDIT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 Wilson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Computing Services</dc:creator>
  <cp:keywords/>
  <dc:description/>
  <cp:lastModifiedBy>Computing Services</cp:lastModifiedBy>
  <cp:lastPrinted>2011-02-15T09:07:06Z</cp:lastPrinted>
  <dcterms:created xsi:type="dcterms:W3CDTF">2010-02-05T08:14:48Z</dcterms:created>
  <dcterms:modified xsi:type="dcterms:W3CDTF">2011-02-15T09:07:11Z</dcterms:modified>
  <cp:category/>
  <cp:version/>
  <cp:contentType/>
  <cp:contentStatus/>
</cp:coreProperties>
</file>